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tabRatio="907" activeTab="13"/>
  </bookViews>
  <sheets>
    <sheet name="VSEL" sheetId="1" r:id="rId1"/>
    <sheet name="VSMS" sheetId="2" r:id="rId2"/>
    <sheet name="VSHS" sheetId="3" r:id="rId3"/>
    <sheet name="SEL" sheetId="4" r:id="rId4"/>
    <sheet name="SMS" sheetId="5" r:id="rId5"/>
    <sheet name="SHS" sheetId="6" r:id="rId6"/>
    <sheet name="MEL" sheetId="7" r:id="rId7"/>
    <sheet name="MMS" sheetId="8" r:id="rId8"/>
    <sheet name="MHS" sheetId="9" r:id="rId9"/>
    <sheet name="LEL" sheetId="10" r:id="rId10"/>
    <sheet name="LMS" sheetId="11" r:id="rId11"/>
    <sheet name="LHS" sheetId="12" r:id="rId12"/>
    <sheet name="Am Ind Schools" sheetId="13" r:id="rId13"/>
    <sheet name="SumPerStudent Costs" sheetId="14" r:id="rId14"/>
    <sheet name="PJ State Costs" sheetId="15" r:id="rId15"/>
    <sheet name="School Sizes" sheetId="16" r:id="rId16"/>
    <sheet name="Personnel Prices" sheetId="17" r:id="rId17"/>
    <sheet name="Additional Costs" sheetId="18" r:id="rId18"/>
    <sheet name="Add Pgms" sheetId="19" r:id="rId19"/>
  </sheets>
  <definedNames>
    <definedName name="_xlnm.Print_Area" localSheetId="9">'LEL'!$A$1:$I$59</definedName>
    <definedName name="_xlnm.Print_Area" localSheetId="11">'LHS'!$A$1:$I$59</definedName>
    <definedName name="_xlnm.Print_Area" localSheetId="10">'LMS'!$A$1:$I$59</definedName>
    <definedName name="_xlnm.Print_Area" localSheetId="6">'MEL'!$A$1:$I$59</definedName>
    <definedName name="_xlnm.Print_Area" localSheetId="8">'MHS'!$A$1:$I$59</definedName>
    <definedName name="_xlnm.Print_Area" localSheetId="7">'MMS'!$A$1:$I$59</definedName>
    <definedName name="_xlnm.Print_Area" localSheetId="16">'Personnel Prices'!$A$1:$J$29</definedName>
    <definedName name="_xlnm.Print_Area" localSheetId="14">'PJ State Costs'!$A$1:$H$87</definedName>
    <definedName name="_xlnm.Print_Area" localSheetId="15">'School Sizes'!$A$3:$F$29</definedName>
    <definedName name="_xlnm.Print_Area" localSheetId="3">'SEL'!$A$1:$I$57</definedName>
    <definedName name="_xlnm.Print_Area" localSheetId="5">'SHS'!$A$1:$I$57</definedName>
    <definedName name="_xlnm.Print_Area" localSheetId="4">'SMS'!$A$1:$I$57</definedName>
    <definedName name="_xlnm.Print_Area" localSheetId="13">'SumPerStudent Costs'!$A$1:$P$55</definedName>
    <definedName name="_xlnm.Print_Area" localSheetId="0">'VSEL'!$A$1:$H$56</definedName>
    <definedName name="_xlnm.Print_Area" localSheetId="2">'VSHS'!$A$1:$I$56</definedName>
    <definedName name="_xlnm.Print_Area" localSheetId="1">'VSMS'!$A$1:$I$56</definedName>
  </definedNames>
  <calcPr fullCalcOnLoad="1"/>
</workbook>
</file>

<file path=xl/sharedStrings.xml><?xml version="1.0" encoding="utf-8"?>
<sst xmlns="http://schemas.openxmlformats.org/spreadsheetml/2006/main" count="1871" uniqueCount="247">
  <si>
    <t>Small</t>
  </si>
  <si>
    <t>Elementary</t>
  </si>
  <si>
    <t>Small Schools</t>
  </si>
  <si>
    <t>Elementary (Less than 50)</t>
  </si>
  <si>
    <t>171 Schools</t>
  </si>
  <si>
    <t>Students</t>
  </si>
  <si>
    <t>F&amp;R</t>
  </si>
  <si>
    <t>Am Ind.</t>
  </si>
  <si>
    <t>Sp Ed.</t>
  </si>
  <si>
    <t>A &amp; M Benchmark</t>
  </si>
  <si>
    <t>?</t>
  </si>
  <si>
    <t>Guidance</t>
  </si>
  <si>
    <t>Other staff</t>
  </si>
  <si>
    <t>Principal</t>
  </si>
  <si>
    <t>Clerical</t>
  </si>
  <si>
    <t>Teachers</t>
  </si>
  <si>
    <t>Other Teachers</t>
  </si>
  <si>
    <t>Aides</t>
  </si>
  <si>
    <t>Regular Ed</t>
  </si>
  <si>
    <t>Special Ed.</t>
  </si>
  <si>
    <t>Pupil Support</t>
  </si>
  <si>
    <t>Psycologist</t>
  </si>
  <si>
    <t>Psychologist</t>
  </si>
  <si>
    <t>Speech Path</t>
  </si>
  <si>
    <t>Librarian</t>
  </si>
  <si>
    <t>Tech Spec.</t>
  </si>
  <si>
    <t>Substitutes</t>
  </si>
  <si>
    <t>Administration</t>
  </si>
  <si>
    <t>Professional Dev.</t>
  </si>
  <si>
    <t>Instr. Materials &amp; Supp.</t>
  </si>
  <si>
    <t>Equipment</t>
  </si>
  <si>
    <t>Technology</t>
  </si>
  <si>
    <t>Assessments</t>
  </si>
  <si>
    <t>Student Activities</t>
  </si>
  <si>
    <t>Security</t>
  </si>
  <si>
    <t>8 days cert. 3 day class</t>
  </si>
  <si>
    <t>Middle Schools (Less than 50)</t>
  </si>
  <si>
    <t>High Schools (Less than 50)</t>
  </si>
  <si>
    <t>Medium Schools</t>
  </si>
  <si>
    <t>Large Schools</t>
  </si>
  <si>
    <t>109 Schools</t>
  </si>
  <si>
    <t>46 Schools</t>
  </si>
  <si>
    <t>Elementary (50-150)</t>
  </si>
  <si>
    <t>Middle Schools (50-100)</t>
  </si>
  <si>
    <t>High Schools (50-150)</t>
  </si>
  <si>
    <t>Elementary (150-300)</t>
  </si>
  <si>
    <t>Middle Schools (100-250)</t>
  </si>
  <si>
    <t>High Schools (150-400)</t>
  </si>
  <si>
    <t>Elementary (300+)</t>
  </si>
  <si>
    <t>Middle Schools (250+)</t>
  </si>
  <si>
    <t>High Schools (400+)</t>
  </si>
  <si>
    <t>99 Schools</t>
  </si>
  <si>
    <t>58 Schools</t>
  </si>
  <si>
    <t>106 Schools</t>
  </si>
  <si>
    <t>29 Schools</t>
  </si>
  <si>
    <t>36 Schools</t>
  </si>
  <si>
    <t>35 Schools</t>
  </si>
  <si>
    <t>32 Schools</t>
  </si>
  <si>
    <t>Nurse</t>
  </si>
  <si>
    <t>Asst. Principal</t>
  </si>
  <si>
    <t>Asst. principal</t>
  </si>
  <si>
    <t xml:space="preserve">Nurse </t>
  </si>
  <si>
    <t>Additional Programs</t>
  </si>
  <si>
    <t>All Students</t>
  </si>
  <si>
    <t>Special Ed</t>
  </si>
  <si>
    <t xml:space="preserve">Pre-School </t>
  </si>
  <si>
    <t>X</t>
  </si>
  <si>
    <t xml:space="preserve">Full day Knd   </t>
  </si>
  <si>
    <t xml:space="preserve">Gifted &amp; Talented  </t>
  </si>
  <si>
    <t>Extended Day</t>
  </si>
  <si>
    <t xml:space="preserve">Summer Programs  </t>
  </si>
  <si>
    <t>Middle Schools</t>
  </si>
  <si>
    <t>Gifted &amp; Talented</t>
  </si>
  <si>
    <t>Summer School</t>
  </si>
  <si>
    <t>High Schools</t>
  </si>
  <si>
    <t>District Costs</t>
  </si>
  <si>
    <t>Medium</t>
  </si>
  <si>
    <t>Large</t>
  </si>
  <si>
    <t>Very Large</t>
  </si>
  <si>
    <t>Plant M&amp;O</t>
  </si>
  <si>
    <t>Voc. Ed</t>
  </si>
  <si>
    <t>Other</t>
  </si>
  <si>
    <t>Special Education Students</t>
  </si>
  <si>
    <t>American India</t>
  </si>
  <si>
    <t>library aide</t>
  </si>
  <si>
    <t>speech path</t>
  </si>
  <si>
    <t>speech path aide</t>
  </si>
  <si>
    <t>Same as Augenblick</t>
  </si>
  <si>
    <t>Same as A&amp;M</t>
  </si>
  <si>
    <t>09/05/05</t>
  </si>
  <si>
    <t>Per Student Cost Estimates from Steve Smith Professional Judgement Model</t>
  </si>
  <si>
    <t>From schools/solution 2005/rc woods/professional judgementCopy of Worksheet39-1.xls</t>
  </si>
  <si>
    <t>Size</t>
  </si>
  <si>
    <t>0-49</t>
  </si>
  <si>
    <t>50-150</t>
  </si>
  <si>
    <t>150-300</t>
  </si>
  <si>
    <t>300+</t>
  </si>
  <si>
    <t>Middle School</t>
  </si>
  <si>
    <t>High School</t>
  </si>
  <si>
    <t>Done by Jim S, LFD 09/05/05</t>
  </si>
  <si>
    <t>50-100</t>
  </si>
  <si>
    <t>101-250</t>
  </si>
  <si>
    <t>150-400</t>
  </si>
  <si>
    <t>400+</t>
  </si>
  <si>
    <t>Total Students</t>
  </si>
  <si>
    <t>cell F10 is a plug number.  Steve had a typo here</t>
  </si>
  <si>
    <t>Total Districts</t>
  </si>
  <si>
    <t>250+</t>
  </si>
  <si>
    <t>Questions of Steve</t>
  </si>
  <si>
    <t>Are these supposed to districts or schools</t>
  </si>
  <si>
    <t>Looking at Merles data by school (not distr) I get following numbers, but totals 130,000</t>
  </si>
  <si>
    <t>Median School Size</t>
  </si>
  <si>
    <t>Number of Schools</t>
  </si>
  <si>
    <t>Total Students (calculated)</t>
  </si>
  <si>
    <t>Very Small Schools</t>
  </si>
  <si>
    <t>Sc</t>
  </si>
  <si>
    <t>GradeType</t>
  </si>
  <si>
    <t>Enrollment</t>
  </si>
  <si>
    <t>SEE</t>
  </si>
  <si>
    <t>EL</t>
  </si>
  <si>
    <t>GR78</t>
  </si>
  <si>
    <t>MS</t>
  </si>
  <si>
    <t>Regular Ed Costs</t>
  </si>
  <si>
    <t>Cost Per Student</t>
  </si>
  <si>
    <t>FY04 PerStudentExpend</t>
  </si>
  <si>
    <t>HS</t>
  </si>
  <si>
    <t>JH</t>
  </si>
  <si>
    <t>Expenditure/Student</t>
  </si>
  <si>
    <t>Percent Indian</t>
  </si>
  <si>
    <t>Total Spending</t>
  </si>
  <si>
    <t>Very Small</t>
  </si>
  <si>
    <t>Total Students (non-Native American)</t>
  </si>
  <si>
    <t>Total StudentsNon-Native American</t>
  </si>
  <si>
    <t>American Indian Schoiols w/ over 50% AMInd</t>
  </si>
  <si>
    <t xml:space="preserve">Total cost </t>
  </si>
  <si>
    <t>total costs w/admin</t>
  </si>
  <si>
    <t>dist spec ed costs per student</t>
  </si>
  <si>
    <t>Average cost per student</t>
  </si>
  <si>
    <t>Dist admin costs from A&amp;M per student</t>
  </si>
  <si>
    <t>total costs w/admin per student</t>
  </si>
  <si>
    <t>Special Ed Dist Admin Costs</t>
  </si>
  <si>
    <t>Special Ed Costs per Student</t>
  </si>
  <si>
    <t>Total Spec Ed Costs Per Student</t>
  </si>
  <si>
    <t>Total Spec Ed Costs</t>
  </si>
  <si>
    <t>FY04 Costs</t>
  </si>
  <si>
    <t>Enrollment W/ SEE</t>
  </si>
  <si>
    <t>Reg Ed Costs Per Student</t>
  </si>
  <si>
    <t>Base Cost</t>
  </si>
  <si>
    <t>Special Ed Cost per Student</t>
  </si>
  <si>
    <t>Total Special Ed Costs</t>
  </si>
  <si>
    <t>District Admin Costs per student A&amp;M Grown for inflation at 4.5 percent</t>
  </si>
  <si>
    <t>FY02</t>
  </si>
  <si>
    <t>FY03</t>
  </si>
  <si>
    <t>FY04</t>
  </si>
  <si>
    <t>FY05</t>
  </si>
  <si>
    <t>FY06</t>
  </si>
  <si>
    <t>FY07</t>
  </si>
  <si>
    <t xml:space="preserve">Growth Rate = </t>
  </si>
  <si>
    <t>Used these in cost analysis</t>
  </si>
  <si>
    <t>Special Ed costs per special ed student A&amp;M grown for inflation at 4.5%</t>
  </si>
  <si>
    <t>Used these in coat anaysis</t>
  </si>
  <si>
    <t>G&amp;T</t>
  </si>
  <si>
    <t>Pre-School</t>
  </si>
  <si>
    <t>Combined</t>
  </si>
  <si>
    <t>FY02 - A&amp;M</t>
  </si>
  <si>
    <t>Per student amount per student in each category</t>
  </si>
  <si>
    <t>estimated 1/8 of students are G&amp;t, 1/100 of students are pre-school</t>
  </si>
  <si>
    <t>adjust per all student amounts to per identified student amount</t>
  </si>
  <si>
    <t>Total number students - wrong</t>
  </si>
  <si>
    <t>Total costs</t>
  </si>
  <si>
    <t>At risk adjustment</t>
  </si>
  <si>
    <t>Number students at risk</t>
  </si>
  <si>
    <t>Total cost at risk</t>
  </si>
  <si>
    <t>Totals</t>
  </si>
  <si>
    <t>Extended day/summer school</t>
  </si>
  <si>
    <t>Estimated enrollment 3-8,10 grades</t>
  </si>
  <si>
    <t>Percent non proficient, from SS data</t>
  </si>
  <si>
    <t>Number 3-8,10 not proficient</t>
  </si>
  <si>
    <t>Total cost extended day, summer school</t>
  </si>
  <si>
    <t>Cost per student extended day, summer, PJ panel</t>
  </si>
  <si>
    <t>Special Ed Admin Costs Per Student from A&amp;M Grown for Inflation at 4.5 %</t>
  </si>
  <si>
    <t>Teacher</t>
  </si>
  <si>
    <t>Tech specilist</t>
  </si>
  <si>
    <t>counselor</t>
  </si>
  <si>
    <t>nurse</t>
  </si>
  <si>
    <t>teacher aide</t>
  </si>
  <si>
    <t>clerical</t>
  </si>
  <si>
    <t>principal</t>
  </si>
  <si>
    <t>asst principal</t>
  </si>
  <si>
    <t>librarian</t>
  </si>
  <si>
    <t>very small</t>
  </si>
  <si>
    <t>smalll</t>
  </si>
  <si>
    <t>medium</t>
  </si>
  <si>
    <t>Total</t>
  </si>
  <si>
    <t>Average Grown by Inflation</t>
  </si>
  <si>
    <t>FY02 -A&amp;M averaged</t>
  </si>
  <si>
    <t>Psych</t>
  </si>
  <si>
    <t>Teacher salary adjusted for 8 additonal PIR days</t>
  </si>
  <si>
    <t>Percent additional for 8 day longer contract</t>
  </si>
  <si>
    <t>Average across sizes</t>
  </si>
  <si>
    <t>Entitlement</t>
  </si>
  <si>
    <t>Per Student</t>
  </si>
  <si>
    <t>Basic</t>
  </si>
  <si>
    <t>Per Classroom</t>
  </si>
  <si>
    <t>Total Cost per Student</t>
  </si>
  <si>
    <t>Base Cost per Student - Teaching Personnel</t>
  </si>
  <si>
    <t>Base Cost per Student - Admin, guidance, others</t>
  </si>
  <si>
    <t>Base Cost per Student - Materials, assess, tech</t>
  </si>
  <si>
    <t>Direct spec ed costs per student</t>
  </si>
  <si>
    <t>Total Spec ed cost per spec ed student</t>
  </si>
  <si>
    <t>Total Base plus Special Ed Costs</t>
  </si>
  <si>
    <t>Summary Of Professional Judgement Model - RC Wood</t>
  </si>
  <si>
    <t>Total Base Costs plus Special Ed Costs</t>
  </si>
  <si>
    <t>Special Ed Students</t>
  </si>
  <si>
    <t>All Schools, Except Native American with 50% or more Native American Students</t>
  </si>
  <si>
    <t>Base Costs</t>
  </si>
  <si>
    <t>Other Costs</t>
  </si>
  <si>
    <t>Number At Risk Students (F&amp;R, LEP)</t>
  </si>
  <si>
    <t>Total Cost At Risk</t>
  </si>
  <si>
    <t>At Risk</t>
  </si>
  <si>
    <t>Summary</t>
  </si>
  <si>
    <t>Native American Students - Steve Smith Used FY04 costs only for schools with 50% of More Native American Students</t>
  </si>
  <si>
    <t>Gifted and Talented</t>
  </si>
  <si>
    <t>Extended Day and Summer School</t>
  </si>
  <si>
    <t>Cost per Student per year</t>
  </si>
  <si>
    <t>Number of Non proficient student grades 3-8, 10th</t>
  </si>
  <si>
    <t>Total Cost</t>
  </si>
  <si>
    <t>Compared to FY06 Projected Costs, excluding Trans, building, school foods</t>
  </si>
  <si>
    <t>Net of Professional Judgement Above Projected FY06 Costs</t>
  </si>
  <si>
    <t>Grand Total Costs Professional Judgement</t>
  </si>
  <si>
    <t>1/8 of Students G&amp;T at $487 (A&amp;M Inflated) for each</t>
  </si>
  <si>
    <t>1 percent of students Pre-school at $1,206 for each</t>
  </si>
  <si>
    <t>Additional Cost per Student - At Risk (A&amp;M Inflated)</t>
  </si>
  <si>
    <t>Assumes 4.5 percent inflation from FY04 to FY06, for 11,568 Native American students</t>
  </si>
  <si>
    <t>Total Students (Non-Native American)</t>
  </si>
  <si>
    <t>All Schools</t>
  </si>
  <si>
    <t>American Indian Schools w/ over 50% Am Ind</t>
  </si>
  <si>
    <t>Total Schools</t>
  </si>
  <si>
    <t>NA</t>
  </si>
  <si>
    <t>Characteristics of Professional Judgement Schools - RC Wood</t>
  </si>
  <si>
    <t>Modified by PJ panel</t>
  </si>
  <si>
    <t>Average &amp; Totals</t>
  </si>
  <si>
    <t>O&amp;M</t>
  </si>
  <si>
    <t>Base Cost per Student - Operations &amp; Maintenance</t>
  </si>
  <si>
    <t>As modified and summarized by Jim Standaert - LFD - 09/07/05</t>
  </si>
  <si>
    <t>Adjusted teacher salary - statewide</t>
  </si>
  <si>
    <t>FY02 Personnel Salaries - A&amp;M Salaries Adjusted by 4.5%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</si>
</sst>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&quot;$&quot;#,##0.00"/>
    <numFmt numFmtId="172" formatCode="_(* #,##0.0_);_(* \(#,##0.0\);_(* &quot;-&quot;??_);_(@_)"/>
    <numFmt numFmtId="173" formatCode="_(* #,##0_);_(* \(#,##0\);_(* &quot;-&quot;??_);_(@_)"/>
  </numFmts>
  <fonts count="12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 quotePrefix="1">
      <alignment/>
    </xf>
    <xf numFmtId="173" fontId="9" fillId="0" borderId="0" xfId="15" applyNumberFormat="1" applyFont="1" applyAlignment="1">
      <alignment/>
    </xf>
    <xf numFmtId="173" fontId="0" fillId="0" borderId="1" xfId="15" applyNumberFormat="1" applyBorder="1" applyAlignment="1" quotePrefix="1">
      <alignment horizontal="center"/>
    </xf>
    <xf numFmtId="173" fontId="0" fillId="0" borderId="2" xfId="15" applyNumberFormat="1" applyBorder="1" applyAlignment="1">
      <alignment/>
    </xf>
    <xf numFmtId="173" fontId="8" fillId="0" borderId="0" xfId="15" applyNumberFormat="1" applyFont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1" xfId="15" applyNumberFormat="1" applyFont="1" applyBorder="1" applyAlignment="1" quotePrefix="1">
      <alignment horizontal="center"/>
    </xf>
    <xf numFmtId="173" fontId="0" fillId="0" borderId="1" xfId="15" applyNumberFormat="1" applyFont="1" applyBorder="1" applyAlignment="1">
      <alignment horizontal="center"/>
    </xf>
    <xf numFmtId="173" fontId="0" fillId="0" borderId="0" xfId="15" applyNumberFormat="1" applyFont="1" applyAlignment="1">
      <alignment horizontal="center"/>
    </xf>
    <xf numFmtId="173" fontId="4" fillId="0" borderId="3" xfId="15" applyNumberFormat="1" applyFon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0" fontId="10" fillId="0" borderId="11" xfId="27" applyNumberFormat="1" applyFont="1" applyFill="1" applyBorder="1" applyAlignment="1">
      <alignment horizontal="right" wrapText="1"/>
      <protection/>
    </xf>
    <xf numFmtId="0" fontId="10" fillId="0" borderId="11" xfId="27" applyFont="1" applyFill="1" applyBorder="1" applyAlignment="1">
      <alignment wrapText="1"/>
      <protection/>
    </xf>
    <xf numFmtId="173" fontId="10" fillId="0" borderId="11" xfId="15" applyNumberFormat="1" applyFont="1" applyFill="1" applyBorder="1" applyAlignment="1">
      <alignment horizontal="right" wrapText="1"/>
    </xf>
    <xf numFmtId="0" fontId="10" fillId="0" borderId="11" xfId="29" applyNumberFormat="1" applyFont="1" applyFill="1" applyBorder="1" applyAlignment="1">
      <alignment horizontal="right" wrapText="1"/>
      <protection/>
    </xf>
    <xf numFmtId="0" fontId="10" fillId="0" borderId="11" xfId="29" applyFont="1" applyFill="1" applyBorder="1" applyAlignment="1">
      <alignment wrapText="1"/>
      <protection/>
    </xf>
    <xf numFmtId="0" fontId="10" fillId="2" borderId="12" xfId="27" applyFont="1" applyFill="1" applyBorder="1" applyAlignment="1">
      <alignment horizontal="center" wrapText="1"/>
      <protection/>
    </xf>
    <xf numFmtId="173" fontId="10" fillId="2" borderId="12" xfId="15" applyNumberFormat="1" applyFont="1" applyFill="1" applyBorder="1" applyAlignment="1">
      <alignment horizontal="center" wrapText="1"/>
    </xf>
    <xf numFmtId="173" fontId="0" fillId="0" borderId="0" xfId="15" applyNumberFormat="1" applyAlignment="1">
      <alignment horizontal="center" wrapText="1"/>
    </xf>
    <xf numFmtId="173" fontId="0" fillId="3" borderId="0" xfId="15" applyNumberFormat="1" applyFont="1" applyFill="1" applyAlignment="1">
      <alignment horizontal="center" wrapText="1"/>
    </xf>
    <xf numFmtId="0" fontId="10" fillId="0" borderId="11" xfId="33" applyNumberFormat="1" applyFont="1" applyFill="1" applyBorder="1" applyAlignment="1">
      <alignment horizontal="right" wrapText="1"/>
      <protection/>
    </xf>
    <xf numFmtId="0" fontId="10" fillId="0" borderId="11" xfId="33" applyFont="1" applyFill="1" applyBorder="1" applyAlignment="1">
      <alignment wrapText="1"/>
      <protection/>
    </xf>
    <xf numFmtId="0" fontId="10" fillId="0" borderId="11" xfId="30" applyNumberFormat="1" applyFont="1" applyFill="1" applyBorder="1" applyAlignment="1">
      <alignment horizontal="right" wrapText="1"/>
      <protection/>
    </xf>
    <xf numFmtId="0" fontId="10" fillId="0" borderId="11" xfId="30" applyFont="1" applyFill="1" applyBorder="1" applyAlignment="1">
      <alignment wrapText="1"/>
      <protection/>
    </xf>
    <xf numFmtId="0" fontId="10" fillId="0" borderId="11" xfId="32" applyNumberFormat="1" applyFont="1" applyFill="1" applyBorder="1" applyAlignment="1">
      <alignment horizontal="right" wrapText="1"/>
      <protection/>
    </xf>
    <xf numFmtId="0" fontId="10" fillId="0" borderId="11" xfId="32" applyFont="1" applyFill="1" applyBorder="1" applyAlignment="1">
      <alignment wrapText="1"/>
      <protection/>
    </xf>
    <xf numFmtId="0" fontId="10" fillId="0" borderId="11" xfId="31" applyNumberFormat="1" applyFont="1" applyFill="1" applyBorder="1" applyAlignment="1">
      <alignment horizontal="right" wrapText="1"/>
      <protection/>
    </xf>
    <xf numFmtId="0" fontId="10" fillId="0" borderId="11" xfId="31" applyFont="1" applyFill="1" applyBorder="1" applyAlignment="1">
      <alignment wrapText="1"/>
      <protection/>
    </xf>
    <xf numFmtId="0" fontId="10" fillId="0" borderId="11" xfId="24" applyNumberFormat="1" applyFont="1" applyFill="1" applyBorder="1" applyAlignment="1">
      <alignment horizontal="right" wrapText="1"/>
      <protection/>
    </xf>
    <xf numFmtId="0" fontId="10" fillId="0" borderId="11" xfId="24" applyFont="1" applyFill="1" applyBorder="1" applyAlignment="1">
      <alignment wrapText="1"/>
      <protection/>
    </xf>
    <xf numFmtId="0" fontId="10" fillId="0" borderId="11" xfId="26" applyNumberFormat="1" applyFont="1" applyFill="1" applyBorder="1" applyAlignment="1">
      <alignment horizontal="right" wrapText="1"/>
      <protection/>
    </xf>
    <xf numFmtId="0" fontId="10" fillId="0" borderId="11" xfId="26" applyFont="1" applyFill="1" applyBorder="1" applyAlignment="1">
      <alignment wrapText="1"/>
      <protection/>
    </xf>
    <xf numFmtId="0" fontId="10" fillId="0" borderId="11" xfId="25" applyNumberFormat="1" applyFont="1" applyFill="1" applyBorder="1" applyAlignment="1">
      <alignment horizontal="right" wrapText="1"/>
      <protection/>
    </xf>
    <xf numFmtId="0" fontId="10" fillId="0" borderId="11" xfId="25" applyFont="1" applyFill="1" applyBorder="1" applyAlignment="1">
      <alignment wrapText="1"/>
      <protection/>
    </xf>
    <xf numFmtId="0" fontId="10" fillId="0" borderId="11" xfId="21" applyNumberFormat="1" applyFont="1" applyFill="1" applyBorder="1" applyAlignment="1">
      <alignment horizontal="right" wrapText="1"/>
      <protection/>
    </xf>
    <xf numFmtId="0" fontId="10" fillId="0" borderId="11" xfId="21" applyFont="1" applyFill="1" applyBorder="1" applyAlignment="1">
      <alignment wrapText="1"/>
      <protection/>
    </xf>
    <xf numFmtId="0" fontId="10" fillId="0" borderId="11" xfId="23" applyNumberFormat="1" applyFont="1" applyFill="1" applyBorder="1" applyAlignment="1">
      <alignment horizontal="right" wrapText="1"/>
      <protection/>
    </xf>
    <xf numFmtId="0" fontId="10" fillId="0" borderId="11" xfId="23" applyFont="1" applyFill="1" applyBorder="1" applyAlignment="1">
      <alignment wrapText="1"/>
      <protection/>
    </xf>
    <xf numFmtId="0" fontId="10" fillId="0" borderId="11" xfId="22" applyNumberFormat="1" applyFont="1" applyFill="1" applyBorder="1" applyAlignment="1">
      <alignment horizontal="right" wrapText="1"/>
      <protection/>
    </xf>
    <xf numFmtId="0" fontId="10" fillId="0" borderId="11" xfId="22" applyFont="1" applyFill="1" applyBorder="1" applyAlignment="1">
      <alignment wrapText="1"/>
      <protection/>
    </xf>
    <xf numFmtId="0" fontId="10" fillId="0" borderId="11" xfId="28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center" wrapText="1"/>
    </xf>
    <xf numFmtId="9" fontId="0" fillId="0" borderId="0" xfId="34" applyAlignment="1">
      <alignment horizontal="center" wrapText="1"/>
    </xf>
    <xf numFmtId="9" fontId="10" fillId="0" borderId="11" xfId="34" applyFont="1" applyFill="1" applyBorder="1" applyAlignment="1">
      <alignment horizontal="right" wrapText="1"/>
    </xf>
    <xf numFmtId="9" fontId="0" fillId="0" borderId="0" xfId="34" applyAlignment="1">
      <alignment/>
    </xf>
    <xf numFmtId="173" fontId="0" fillId="0" borderId="2" xfId="15" applyNumberFormat="1" applyFont="1" applyBorder="1" applyAlignment="1">
      <alignment horizontal="center"/>
    </xf>
    <xf numFmtId="173" fontId="0" fillId="0" borderId="13" xfId="15" applyNumberFormat="1" applyFont="1" applyBorder="1" applyAlignment="1">
      <alignment horizontal="center"/>
    </xf>
    <xf numFmtId="164" fontId="0" fillId="0" borderId="0" xfId="34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0" fillId="0" borderId="5" xfId="0" applyNumberForma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73" fontId="9" fillId="0" borderId="7" xfId="15" applyNumberFormat="1" applyFont="1" applyBorder="1" applyAlignment="1">
      <alignment/>
    </xf>
    <xf numFmtId="173" fontId="0" fillId="0" borderId="16" xfId="15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73" fontId="0" fillId="0" borderId="7" xfId="15" applyNumberFormat="1" applyFont="1" applyBorder="1" applyAlignment="1">
      <alignment/>
    </xf>
    <xf numFmtId="0" fontId="0" fillId="0" borderId="6" xfId="0" applyBorder="1" applyAlignment="1">
      <alignment horizontal="center"/>
    </xf>
    <xf numFmtId="173" fontId="8" fillId="0" borderId="7" xfId="15" applyNumberFormat="1" applyFont="1" applyBorder="1" applyAlignment="1">
      <alignment/>
    </xf>
    <xf numFmtId="173" fontId="0" fillId="0" borderId="8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10" fillId="0" borderId="18" xfId="27" applyFont="1" applyFill="1" applyBorder="1" applyAlignment="1">
      <alignment horizontal="center" wrapText="1"/>
      <protection/>
    </xf>
    <xf numFmtId="0" fontId="10" fillId="0" borderId="19" xfId="27" applyFont="1" applyFill="1" applyBorder="1" applyAlignment="1">
      <alignment horizontal="center" wrapText="1"/>
      <protection/>
    </xf>
    <xf numFmtId="0" fontId="10" fillId="0" borderId="20" xfId="27" applyFont="1" applyFill="1" applyBorder="1" applyAlignment="1">
      <alignment horizontal="center" wrapText="1"/>
      <protection/>
    </xf>
    <xf numFmtId="173" fontId="4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el" xfId="21"/>
    <cellStyle name="Normal_lhs" xfId="22"/>
    <cellStyle name="Normal_lms" xfId="23"/>
    <cellStyle name="Normal_Mel" xfId="24"/>
    <cellStyle name="Normal_mhs" xfId="25"/>
    <cellStyle name="Normal_mms" xfId="26"/>
    <cellStyle name="Normal_Sheet1" xfId="27"/>
    <cellStyle name="Normal_Sheet15" xfId="28"/>
    <cellStyle name="Normal_Sheet2" xfId="29"/>
    <cellStyle name="Normal_smel" xfId="30"/>
    <cellStyle name="Normal_smhs" xfId="31"/>
    <cellStyle name="Normal_smms" xfId="32"/>
    <cellStyle name="Normal_vshs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workbookViewId="0" topLeftCell="C27">
      <selection activeCell="I42" sqref="I42"/>
    </sheetView>
  </sheetViews>
  <sheetFormatPr defaultColWidth="9.140625" defaultRowHeight="12.75"/>
  <cols>
    <col min="1" max="1" width="21.7109375" style="0" customWidth="1"/>
    <col min="3" max="3" width="10.28125" style="15" bestFit="1" customWidth="1"/>
    <col min="4" max="4" width="11.28125" style="15" bestFit="1" customWidth="1"/>
    <col min="9" max="9" width="10.7109375" style="0" customWidth="1"/>
    <col min="11" max="11" width="10.57421875" style="0" customWidth="1"/>
    <col min="12" max="12" width="10.28125" style="15" bestFit="1" customWidth="1"/>
    <col min="13" max="13" width="10.421875" style="15" customWidth="1"/>
    <col min="14" max="14" width="12.8515625" style="15" bestFit="1" customWidth="1"/>
    <col min="15" max="15" width="10.28125" style="15" bestFit="1" customWidth="1"/>
    <col min="16" max="17" width="14.00390625" style="15" bestFit="1" customWidth="1"/>
    <col min="18" max="18" width="10.28125" style="15" bestFit="1" customWidth="1"/>
  </cols>
  <sheetData>
    <row r="1" spans="1:18" ht="49.5" customHeight="1">
      <c r="A1" s="1" t="s">
        <v>114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8" ht="15">
      <c r="A2" s="2" t="s">
        <v>3</v>
      </c>
      <c r="J2" s="35">
        <v>4</v>
      </c>
      <c r="K2" s="36" t="s">
        <v>119</v>
      </c>
      <c r="L2" s="37">
        <v>6610.51823529412</v>
      </c>
      <c r="M2" s="37">
        <v>19</v>
      </c>
      <c r="N2" s="37">
        <v>0</v>
      </c>
      <c r="O2" s="15">
        <f>+$D$53</f>
        <v>12515.315170145303</v>
      </c>
      <c r="P2" s="15">
        <f>M2*O2</f>
        <v>237790.98823276075</v>
      </c>
      <c r="Q2" s="15">
        <f aca="true" t="shared" si="0" ref="Q2:Q65">L2*M2</f>
        <v>125599.84647058828</v>
      </c>
      <c r="R2" s="15">
        <f>Q2/M2</f>
        <v>6610.51823529412</v>
      </c>
    </row>
    <row r="3" spans="1:18" ht="12.75">
      <c r="A3" t="s">
        <v>4</v>
      </c>
      <c r="B3">
        <f>COUNT(M2:M160)</f>
        <v>159</v>
      </c>
      <c r="G3" t="s">
        <v>9</v>
      </c>
      <c r="J3" s="35">
        <v>9</v>
      </c>
      <c r="K3" s="36" t="s">
        <v>119</v>
      </c>
      <c r="L3" s="37">
        <v>6313.17523809524</v>
      </c>
      <c r="M3" s="37">
        <v>24</v>
      </c>
      <c r="N3" s="37">
        <v>0</v>
      </c>
      <c r="O3" s="15">
        <f aca="true" t="shared" si="1" ref="O3:O66">+$D$53</f>
        <v>12515.315170145303</v>
      </c>
      <c r="P3" s="15">
        <f aca="true" t="shared" si="2" ref="P3:P66">M3*O3</f>
        <v>300367.56408348726</v>
      </c>
      <c r="Q3" s="15">
        <f t="shared" si="0"/>
        <v>151516.20571428578</v>
      </c>
      <c r="R3" s="15">
        <f aca="true" t="shared" si="3" ref="R3:R66">Q3/M3</f>
        <v>6313.175238095241</v>
      </c>
    </row>
    <row r="4" spans="10:18" ht="12.75">
      <c r="J4" s="35">
        <v>11</v>
      </c>
      <c r="K4" s="36" t="s">
        <v>119</v>
      </c>
      <c r="L4" s="37">
        <v>10432.1967647059</v>
      </c>
      <c r="M4" s="37">
        <v>48</v>
      </c>
      <c r="N4" s="37">
        <v>1</v>
      </c>
      <c r="O4" s="15">
        <f t="shared" si="1"/>
        <v>12515.315170145303</v>
      </c>
      <c r="P4" s="15">
        <f t="shared" si="2"/>
        <v>600735.1281669745</v>
      </c>
      <c r="Q4" s="15">
        <f t="shared" si="0"/>
        <v>500745.44470588316</v>
      </c>
      <c r="R4" s="15">
        <f t="shared" si="3"/>
        <v>10432.1967647059</v>
      </c>
    </row>
    <row r="5" spans="1:18" ht="12.75">
      <c r="A5" t="s">
        <v>5</v>
      </c>
      <c r="B5">
        <v>20</v>
      </c>
      <c r="G5">
        <v>112</v>
      </c>
      <c r="J5" s="35">
        <v>12</v>
      </c>
      <c r="K5" s="36" t="s">
        <v>119</v>
      </c>
      <c r="L5" s="37">
        <v>6144.12105263158</v>
      </c>
      <c r="M5" s="37">
        <v>27</v>
      </c>
      <c r="N5" s="37">
        <v>3</v>
      </c>
      <c r="O5" s="15">
        <f t="shared" si="1"/>
        <v>12515.315170145303</v>
      </c>
      <c r="P5" s="15">
        <f t="shared" si="2"/>
        <v>337913.50959392317</v>
      </c>
      <c r="Q5" s="15">
        <f t="shared" si="0"/>
        <v>165891.26842105266</v>
      </c>
      <c r="R5" s="15">
        <f t="shared" si="3"/>
        <v>6144.12105263158</v>
      </c>
    </row>
    <row r="6" spans="1:18" ht="12.75">
      <c r="A6" t="s">
        <v>6</v>
      </c>
      <c r="B6" s="3">
        <f>B5*E6</f>
        <v>5.92</v>
      </c>
      <c r="E6" s="4">
        <v>0.296</v>
      </c>
      <c r="G6">
        <v>41</v>
      </c>
      <c r="H6" s="4">
        <f>G6/G5</f>
        <v>0.36607142857142855</v>
      </c>
      <c r="J6" s="35">
        <v>15</v>
      </c>
      <c r="K6" s="36" t="s">
        <v>119</v>
      </c>
      <c r="L6" s="37">
        <v>9365.04833333333</v>
      </c>
      <c r="M6" s="37">
        <v>2</v>
      </c>
      <c r="N6" s="37">
        <v>0</v>
      </c>
      <c r="O6" s="15">
        <f t="shared" si="1"/>
        <v>12515.315170145303</v>
      </c>
      <c r="P6" s="15">
        <f t="shared" si="2"/>
        <v>25030.630340290605</v>
      </c>
      <c r="Q6" s="15">
        <f t="shared" si="0"/>
        <v>18730.09666666666</v>
      </c>
      <c r="R6" s="15">
        <f t="shared" si="3"/>
        <v>9365.04833333333</v>
      </c>
    </row>
    <row r="7" spans="1:18" ht="12.75">
      <c r="A7" t="s">
        <v>7</v>
      </c>
      <c r="B7" s="3">
        <f>B5*E7</f>
        <v>1.26</v>
      </c>
      <c r="E7" s="4">
        <v>0.063</v>
      </c>
      <c r="G7">
        <v>12</v>
      </c>
      <c r="H7" s="4">
        <f>G7/G5</f>
        <v>0.10714285714285714</v>
      </c>
      <c r="J7" s="35">
        <v>17</v>
      </c>
      <c r="K7" s="36" t="s">
        <v>119</v>
      </c>
      <c r="L7" s="37">
        <v>5381.2925</v>
      </c>
      <c r="M7" s="37">
        <v>21</v>
      </c>
      <c r="N7" s="37">
        <v>3</v>
      </c>
      <c r="O7" s="15">
        <f t="shared" si="1"/>
        <v>12515.315170145303</v>
      </c>
      <c r="P7" s="15">
        <f t="shared" si="2"/>
        <v>262821.61857305135</v>
      </c>
      <c r="Q7" s="15">
        <f t="shared" si="0"/>
        <v>113007.14249999999</v>
      </c>
      <c r="R7" s="15">
        <f t="shared" si="3"/>
        <v>5381.2925</v>
      </c>
    </row>
    <row r="8" spans="1:18" ht="12.75">
      <c r="A8" t="s">
        <v>8</v>
      </c>
      <c r="B8">
        <f>B5*E8</f>
        <v>2.5</v>
      </c>
      <c r="E8" s="4">
        <v>0.125</v>
      </c>
      <c r="G8">
        <v>13</v>
      </c>
      <c r="H8" s="4">
        <f>G8/G5</f>
        <v>0.11607142857142858</v>
      </c>
      <c r="J8" s="35">
        <v>18</v>
      </c>
      <c r="K8" s="36" t="s">
        <v>119</v>
      </c>
      <c r="L8" s="37">
        <v>6306.01956521739</v>
      </c>
      <c r="M8" s="37">
        <v>22</v>
      </c>
      <c r="N8" s="37">
        <v>1</v>
      </c>
      <c r="O8" s="15">
        <f t="shared" si="1"/>
        <v>12515.315170145303</v>
      </c>
      <c r="P8" s="15">
        <f t="shared" si="2"/>
        <v>275336.93374319666</v>
      </c>
      <c r="Q8" s="15">
        <f t="shared" si="0"/>
        <v>138732.43043478258</v>
      </c>
      <c r="R8" s="15">
        <f t="shared" si="3"/>
        <v>6306.01956521739</v>
      </c>
    </row>
    <row r="9" spans="5:18" ht="12.75">
      <c r="E9" s="4"/>
      <c r="H9" s="4"/>
      <c r="J9" s="35">
        <v>69</v>
      </c>
      <c r="K9" s="36" t="s">
        <v>119</v>
      </c>
      <c r="L9" s="37">
        <v>10668.4227118644</v>
      </c>
      <c r="M9" s="37">
        <v>44</v>
      </c>
      <c r="N9" s="37">
        <v>0</v>
      </c>
      <c r="O9" s="15">
        <f t="shared" si="1"/>
        <v>12515.315170145303</v>
      </c>
      <c r="P9" s="15">
        <f t="shared" si="2"/>
        <v>550673.8674863933</v>
      </c>
      <c r="Q9" s="15">
        <f t="shared" si="0"/>
        <v>469410.5993220336</v>
      </c>
      <c r="R9" s="15">
        <f t="shared" si="3"/>
        <v>10668.4227118644</v>
      </c>
    </row>
    <row r="10" spans="1:18" ht="12.75">
      <c r="A10" t="s">
        <v>18</v>
      </c>
      <c r="J10" s="35">
        <v>74</v>
      </c>
      <c r="K10" s="36" t="s">
        <v>119</v>
      </c>
      <c r="L10" s="37">
        <v>9720.005</v>
      </c>
      <c r="M10" s="37">
        <v>6</v>
      </c>
      <c r="N10" s="37">
        <v>0</v>
      </c>
      <c r="O10" s="15">
        <f t="shared" si="1"/>
        <v>12515.315170145303</v>
      </c>
      <c r="P10" s="15">
        <f t="shared" si="2"/>
        <v>75091.89102087182</v>
      </c>
      <c r="Q10" s="15">
        <f t="shared" si="0"/>
        <v>58320.03</v>
      </c>
      <c r="R10" s="15">
        <f t="shared" si="3"/>
        <v>9720.005</v>
      </c>
    </row>
    <row r="11" spans="1:18" ht="12.75">
      <c r="A11" t="s">
        <v>15</v>
      </c>
      <c r="B11">
        <v>2</v>
      </c>
      <c r="C11" s="15">
        <v>42914.98927153859</v>
      </c>
      <c r="D11" s="15">
        <f>C11*B11</f>
        <v>85829.97854307717</v>
      </c>
      <c r="E11">
        <f>B$5/B11</f>
        <v>10</v>
      </c>
      <c r="G11">
        <v>6.5</v>
      </c>
      <c r="H11" s="5">
        <v>17.23076923076923</v>
      </c>
      <c r="J11" s="35">
        <v>97</v>
      </c>
      <c r="K11" s="36" t="s">
        <v>119</v>
      </c>
      <c r="L11" s="37">
        <v>7721.98083333333</v>
      </c>
      <c r="M11" s="37">
        <v>10</v>
      </c>
      <c r="N11" s="37">
        <v>0</v>
      </c>
      <c r="O11" s="15">
        <f t="shared" si="1"/>
        <v>12515.315170145303</v>
      </c>
      <c r="P11" s="15">
        <f t="shared" si="2"/>
        <v>125153.15170145303</v>
      </c>
      <c r="Q11" s="15">
        <f t="shared" si="0"/>
        <v>77219.8083333333</v>
      </c>
      <c r="R11" s="15">
        <f t="shared" si="3"/>
        <v>7721.98083333333</v>
      </c>
    </row>
    <row r="12" spans="1:18" ht="12.75">
      <c r="A12" t="s">
        <v>16</v>
      </c>
      <c r="B12">
        <v>0.5</v>
      </c>
      <c r="C12" s="15">
        <v>42914.98927153859</v>
      </c>
      <c r="D12" s="15">
        <f>C12*B12</f>
        <v>21457.494635769293</v>
      </c>
      <c r="E12">
        <f>B$5/B12</f>
        <v>40</v>
      </c>
      <c r="G12">
        <v>1.5</v>
      </c>
      <c r="H12" s="5">
        <v>74.66666666666667</v>
      </c>
      <c r="J12" s="35">
        <v>100</v>
      </c>
      <c r="K12" s="36" t="s">
        <v>119</v>
      </c>
      <c r="L12" s="37">
        <v>8854.34466666667</v>
      </c>
      <c r="M12" s="37">
        <v>9</v>
      </c>
      <c r="N12" s="37">
        <v>0</v>
      </c>
      <c r="O12" s="15">
        <f t="shared" si="1"/>
        <v>12515.315170145303</v>
      </c>
      <c r="P12" s="15">
        <f t="shared" si="2"/>
        <v>112637.83653130772</v>
      </c>
      <c r="Q12" s="15">
        <f t="shared" si="0"/>
        <v>79689.10200000003</v>
      </c>
      <c r="R12" s="15">
        <f t="shared" si="3"/>
        <v>8854.34466666667</v>
      </c>
    </row>
    <row r="13" spans="2:18" ht="12.75">
      <c r="B13">
        <f>SUM(B11:B12)</f>
        <v>2.5</v>
      </c>
      <c r="E13">
        <f>B$5/B13</f>
        <v>8</v>
      </c>
      <c r="G13">
        <f>SUM(G11:G12)</f>
        <v>8</v>
      </c>
      <c r="H13" s="5">
        <f>G5/G13</f>
        <v>14</v>
      </c>
      <c r="J13" s="35">
        <v>102</v>
      </c>
      <c r="K13" s="36" t="s">
        <v>119</v>
      </c>
      <c r="L13" s="37">
        <v>12121.6871559633</v>
      </c>
      <c r="M13" s="37">
        <v>28</v>
      </c>
      <c r="N13" s="37">
        <v>4</v>
      </c>
      <c r="O13" s="15">
        <f t="shared" si="1"/>
        <v>12515.315170145303</v>
      </c>
      <c r="P13" s="15">
        <f t="shared" si="2"/>
        <v>350428.8247640685</v>
      </c>
      <c r="Q13" s="15">
        <f t="shared" si="0"/>
        <v>339407.2403669724</v>
      </c>
      <c r="R13" s="15">
        <f t="shared" si="3"/>
        <v>12121.6871559633</v>
      </c>
    </row>
    <row r="14" spans="8:18" ht="12.75">
      <c r="H14" s="5"/>
      <c r="J14" s="35">
        <v>105</v>
      </c>
      <c r="K14" s="36" t="s">
        <v>119</v>
      </c>
      <c r="L14" s="37">
        <v>8219.34181818182</v>
      </c>
      <c r="M14" s="37">
        <v>8</v>
      </c>
      <c r="N14" s="37">
        <v>0</v>
      </c>
      <c r="O14" s="15">
        <f t="shared" si="1"/>
        <v>12515.315170145303</v>
      </c>
      <c r="P14" s="15">
        <f t="shared" si="2"/>
        <v>100122.52136116242</v>
      </c>
      <c r="Q14" s="15">
        <f t="shared" si="0"/>
        <v>65754.73454545456</v>
      </c>
      <c r="R14" s="15">
        <f t="shared" si="3"/>
        <v>8219.34181818182</v>
      </c>
    </row>
    <row r="15" spans="1:18" ht="12.75">
      <c r="A15" t="s">
        <v>17</v>
      </c>
      <c r="B15">
        <v>0.5</v>
      </c>
      <c r="C15" s="15">
        <v>20738.494724169057</v>
      </c>
      <c r="D15" s="15">
        <f>C15*B15</f>
        <v>10369.247362084529</v>
      </c>
      <c r="G15">
        <v>1</v>
      </c>
      <c r="H15" s="5">
        <v>112</v>
      </c>
      <c r="J15" s="35">
        <v>131</v>
      </c>
      <c r="K15" s="36" t="s">
        <v>119</v>
      </c>
      <c r="L15" s="37">
        <v>8219.34181818182</v>
      </c>
      <c r="M15" s="37">
        <v>6</v>
      </c>
      <c r="N15" s="37">
        <v>0</v>
      </c>
      <c r="O15" s="15">
        <f t="shared" si="1"/>
        <v>12515.315170145303</v>
      </c>
      <c r="P15" s="15">
        <f t="shared" si="2"/>
        <v>75091.89102087182</v>
      </c>
      <c r="Q15" s="15">
        <f t="shared" si="0"/>
        <v>49316.05090909092</v>
      </c>
      <c r="R15" s="15">
        <f t="shared" si="3"/>
        <v>8219.34181818182</v>
      </c>
    </row>
    <row r="16" spans="8:18" ht="12.75">
      <c r="H16" s="5"/>
      <c r="J16" s="35">
        <v>132</v>
      </c>
      <c r="K16" s="36" t="s">
        <v>119</v>
      </c>
      <c r="L16" s="37">
        <v>8268.88076923077</v>
      </c>
      <c r="M16" s="37">
        <v>7</v>
      </c>
      <c r="N16" s="37">
        <v>0</v>
      </c>
      <c r="O16" s="15">
        <f t="shared" si="1"/>
        <v>12515.315170145303</v>
      </c>
      <c r="P16" s="15">
        <f t="shared" si="2"/>
        <v>87607.20619101712</v>
      </c>
      <c r="Q16" s="15">
        <f t="shared" si="0"/>
        <v>57882.165384615386</v>
      </c>
      <c r="R16" s="15">
        <f t="shared" si="3"/>
        <v>8268.88076923077</v>
      </c>
    </row>
    <row r="17" spans="1:18" ht="12.75">
      <c r="A17" t="s">
        <v>19</v>
      </c>
      <c r="B17">
        <f>2.5/H17</f>
        <v>0.19230769230769232</v>
      </c>
      <c r="C17" s="15">
        <v>42914.98927153859</v>
      </c>
      <c r="D17" s="15">
        <f>C17*B17</f>
        <v>8252.88255221896</v>
      </c>
      <c r="E17" s="3">
        <f>B$8/B17</f>
        <v>13</v>
      </c>
      <c r="G17">
        <v>1</v>
      </c>
      <c r="H17" s="5">
        <v>13</v>
      </c>
      <c r="J17" s="35">
        <v>203</v>
      </c>
      <c r="K17" s="36" t="s">
        <v>119</v>
      </c>
      <c r="L17" s="37">
        <v>24144.305</v>
      </c>
      <c r="M17" s="37">
        <v>4</v>
      </c>
      <c r="N17" s="37">
        <v>1</v>
      </c>
      <c r="O17" s="15">
        <f t="shared" si="1"/>
        <v>12515.315170145303</v>
      </c>
      <c r="P17" s="15">
        <f t="shared" si="2"/>
        <v>50061.26068058121</v>
      </c>
      <c r="Q17" s="15">
        <f t="shared" si="0"/>
        <v>96577.22</v>
      </c>
      <c r="R17" s="15">
        <f t="shared" si="3"/>
        <v>24144.305</v>
      </c>
    </row>
    <row r="18" spans="1:18" ht="12.75">
      <c r="A18" t="s">
        <v>16</v>
      </c>
      <c r="C18" s="15">
        <v>42914.98927153859</v>
      </c>
      <c r="D18" s="15">
        <f>C18*B18</f>
        <v>0</v>
      </c>
      <c r="G18">
        <v>0.3</v>
      </c>
      <c r="H18" s="5">
        <v>43.333333333333336</v>
      </c>
      <c r="J18" s="35">
        <v>204</v>
      </c>
      <c r="K18" s="36" t="s">
        <v>119</v>
      </c>
      <c r="L18" s="37">
        <v>7811.96575342466</v>
      </c>
      <c r="M18" s="37">
        <v>41</v>
      </c>
      <c r="N18" s="37">
        <v>5</v>
      </c>
      <c r="O18" s="15">
        <f t="shared" si="1"/>
        <v>12515.315170145303</v>
      </c>
      <c r="P18" s="15">
        <f t="shared" si="2"/>
        <v>513127.9219759574</v>
      </c>
      <c r="Q18" s="15">
        <f t="shared" si="0"/>
        <v>320290.59589041106</v>
      </c>
      <c r="R18" s="15">
        <f t="shared" si="3"/>
        <v>7811.96575342466</v>
      </c>
    </row>
    <row r="19" spans="1:18" ht="12.75">
      <c r="A19" t="s">
        <v>17</v>
      </c>
      <c r="B19">
        <f>2.5/H19</f>
        <v>0.19230769230769232</v>
      </c>
      <c r="C19" s="15">
        <v>20738.494724169057</v>
      </c>
      <c r="D19" s="15">
        <f>C19*B19</f>
        <v>3988.1720623402034</v>
      </c>
      <c r="E19" s="3">
        <f>B$8/B19</f>
        <v>13</v>
      </c>
      <c r="G19">
        <v>1</v>
      </c>
      <c r="H19" s="5">
        <v>13</v>
      </c>
      <c r="J19" s="35">
        <v>213</v>
      </c>
      <c r="K19" s="36" t="s">
        <v>119</v>
      </c>
      <c r="L19" s="37">
        <v>8058.96915492957</v>
      </c>
      <c r="M19" s="37">
        <v>48</v>
      </c>
      <c r="N19" s="37">
        <v>5</v>
      </c>
      <c r="O19" s="15">
        <f t="shared" si="1"/>
        <v>12515.315170145303</v>
      </c>
      <c r="P19" s="15">
        <f t="shared" si="2"/>
        <v>600735.1281669745</v>
      </c>
      <c r="Q19" s="15">
        <f t="shared" si="0"/>
        <v>386830.51943661936</v>
      </c>
      <c r="R19" s="15">
        <f t="shared" si="3"/>
        <v>8058.96915492957</v>
      </c>
    </row>
    <row r="20" spans="8:18" ht="12.75">
      <c r="H20" s="5"/>
      <c r="J20" s="35">
        <v>221</v>
      </c>
      <c r="K20" s="36" t="s">
        <v>119</v>
      </c>
      <c r="L20" s="37">
        <v>12376.13</v>
      </c>
      <c r="M20" s="37">
        <v>4</v>
      </c>
      <c r="N20" s="37">
        <v>0</v>
      </c>
      <c r="O20" s="15">
        <f t="shared" si="1"/>
        <v>12515.315170145303</v>
      </c>
      <c r="P20" s="15">
        <f t="shared" si="2"/>
        <v>50061.26068058121</v>
      </c>
      <c r="Q20" s="15">
        <f t="shared" si="0"/>
        <v>49504.52</v>
      </c>
      <c r="R20" s="15">
        <f t="shared" si="3"/>
        <v>12376.13</v>
      </c>
    </row>
    <row r="21" spans="8:18" ht="12.75">
      <c r="H21" s="5"/>
      <c r="J21" s="35">
        <v>223</v>
      </c>
      <c r="K21" s="36" t="s">
        <v>119</v>
      </c>
      <c r="L21" s="37">
        <v>5489.84454545455</v>
      </c>
      <c r="M21" s="37">
        <v>13</v>
      </c>
      <c r="N21" s="37">
        <v>1</v>
      </c>
      <c r="O21" s="15">
        <f t="shared" si="1"/>
        <v>12515.315170145303</v>
      </c>
      <c r="P21" s="15">
        <f t="shared" si="2"/>
        <v>162699.09721188893</v>
      </c>
      <c r="Q21" s="15">
        <f t="shared" si="0"/>
        <v>71367.97909090915</v>
      </c>
      <c r="R21" s="15">
        <f t="shared" si="3"/>
        <v>5489.84454545455</v>
      </c>
    </row>
    <row r="22" spans="1:18" ht="12.75">
      <c r="A22" t="s">
        <v>20</v>
      </c>
      <c r="H22" s="5"/>
      <c r="J22" s="35">
        <v>233</v>
      </c>
      <c r="K22" s="36" t="s">
        <v>119</v>
      </c>
      <c r="L22" s="37">
        <v>8330.56857142857</v>
      </c>
      <c r="M22" s="37">
        <v>7</v>
      </c>
      <c r="N22" s="37">
        <v>0</v>
      </c>
      <c r="O22" s="15">
        <f t="shared" si="1"/>
        <v>12515.315170145303</v>
      </c>
      <c r="P22" s="15">
        <f t="shared" si="2"/>
        <v>87607.20619101712</v>
      </c>
      <c r="Q22" s="15">
        <f t="shared" si="0"/>
        <v>58313.97999999999</v>
      </c>
      <c r="R22" s="15">
        <f t="shared" si="3"/>
        <v>8330.56857142857</v>
      </c>
    </row>
    <row r="23" spans="1:18" ht="12.75">
      <c r="A23" t="s">
        <v>11</v>
      </c>
      <c r="B23">
        <f>2.5/H23</f>
        <v>0.011160714285714286</v>
      </c>
      <c r="C23" s="15">
        <v>46319.211226175925</v>
      </c>
      <c r="D23" s="15">
        <f>C23*B23</f>
        <v>516.9554824349992</v>
      </c>
      <c r="E23">
        <f>B$5/B23</f>
        <v>1792</v>
      </c>
      <c r="G23">
        <v>0.5</v>
      </c>
      <c r="H23" s="5">
        <v>224</v>
      </c>
      <c r="J23" s="35">
        <v>246</v>
      </c>
      <c r="K23" s="36" t="s">
        <v>119</v>
      </c>
      <c r="L23" s="37">
        <v>14311.47</v>
      </c>
      <c r="M23" s="37">
        <v>3</v>
      </c>
      <c r="N23" s="37">
        <v>0</v>
      </c>
      <c r="O23" s="15">
        <f t="shared" si="1"/>
        <v>12515.315170145303</v>
      </c>
      <c r="P23" s="15">
        <f t="shared" si="2"/>
        <v>37545.94551043591</v>
      </c>
      <c r="Q23" s="15">
        <f t="shared" si="0"/>
        <v>42934.409999999996</v>
      </c>
      <c r="R23" s="15">
        <f t="shared" si="3"/>
        <v>14311.47</v>
      </c>
    </row>
    <row r="24" spans="8:18" ht="12.75">
      <c r="H24" s="5"/>
      <c r="J24" s="35">
        <v>248</v>
      </c>
      <c r="K24" s="36" t="s">
        <v>119</v>
      </c>
      <c r="L24" s="37">
        <v>10032.7125</v>
      </c>
      <c r="M24" s="37">
        <v>5</v>
      </c>
      <c r="N24" s="37">
        <v>0</v>
      </c>
      <c r="O24" s="15">
        <f t="shared" si="1"/>
        <v>12515.315170145303</v>
      </c>
      <c r="P24" s="15">
        <f t="shared" si="2"/>
        <v>62576.57585072651</v>
      </c>
      <c r="Q24" s="15">
        <f t="shared" si="0"/>
        <v>50163.5625</v>
      </c>
      <c r="R24" s="15">
        <f t="shared" si="3"/>
        <v>10032.7125</v>
      </c>
    </row>
    <row r="25" spans="8:18" ht="12.75">
      <c r="H25" s="5"/>
      <c r="J25" s="35">
        <v>253</v>
      </c>
      <c r="K25" s="36" t="s">
        <v>119</v>
      </c>
      <c r="L25" s="37">
        <v>27178.804</v>
      </c>
      <c r="M25" s="37">
        <v>6</v>
      </c>
      <c r="N25" s="37">
        <v>0</v>
      </c>
      <c r="O25" s="15">
        <f t="shared" si="1"/>
        <v>12515.315170145303</v>
      </c>
      <c r="P25" s="15">
        <f t="shared" si="2"/>
        <v>75091.89102087182</v>
      </c>
      <c r="Q25" s="15">
        <f t="shared" si="0"/>
        <v>163072.824</v>
      </c>
      <c r="R25" s="15">
        <f t="shared" si="3"/>
        <v>27178.804</v>
      </c>
    </row>
    <row r="26" spans="1:18" ht="12.75">
      <c r="A26" t="s">
        <v>19</v>
      </c>
      <c r="H26" s="5"/>
      <c r="J26" s="35">
        <v>264</v>
      </c>
      <c r="K26" s="36" t="s">
        <v>119</v>
      </c>
      <c r="L26" s="37">
        <v>6842.6125</v>
      </c>
      <c r="M26" s="37">
        <v>6</v>
      </c>
      <c r="N26" s="37">
        <v>0</v>
      </c>
      <c r="O26" s="15">
        <f t="shared" si="1"/>
        <v>12515.315170145303</v>
      </c>
      <c r="P26" s="15">
        <f t="shared" si="2"/>
        <v>75091.89102087182</v>
      </c>
      <c r="Q26" s="15">
        <f t="shared" si="0"/>
        <v>41055.675</v>
      </c>
      <c r="R26" s="15">
        <f t="shared" si="3"/>
        <v>6842.6125</v>
      </c>
    </row>
    <row r="27" spans="1:18" ht="12.75">
      <c r="A27" s="6" t="s">
        <v>22</v>
      </c>
      <c r="B27">
        <f>20/H27</f>
        <v>0.3076923076923077</v>
      </c>
      <c r="C27" s="15">
        <v>46396.4268055664</v>
      </c>
      <c r="D27" s="15">
        <f>C27*B27</f>
        <v>14275.82363248197</v>
      </c>
      <c r="E27" s="3">
        <f>B$8/B27</f>
        <v>8.125</v>
      </c>
      <c r="G27">
        <v>0.2</v>
      </c>
      <c r="H27" s="5">
        <v>65</v>
      </c>
      <c r="J27" s="35">
        <v>269</v>
      </c>
      <c r="K27" s="36" t="s">
        <v>119</v>
      </c>
      <c r="L27" s="37">
        <v>24544.9732</v>
      </c>
      <c r="M27" s="37">
        <v>13</v>
      </c>
      <c r="N27" s="37">
        <v>3</v>
      </c>
      <c r="O27" s="15">
        <f t="shared" si="1"/>
        <v>12515.315170145303</v>
      </c>
      <c r="P27" s="15">
        <f t="shared" si="2"/>
        <v>162699.09721188893</v>
      </c>
      <c r="Q27" s="15">
        <f t="shared" si="0"/>
        <v>319084.6516</v>
      </c>
      <c r="R27" s="15">
        <f t="shared" si="3"/>
        <v>24544.9732</v>
      </c>
    </row>
    <row r="28" spans="1:18" ht="12.75">
      <c r="A28" t="s">
        <v>23</v>
      </c>
      <c r="B28">
        <f>20/H28</f>
        <v>0.6153846153846154</v>
      </c>
      <c r="C28" s="15">
        <v>48090.39947775422</v>
      </c>
      <c r="D28" s="15">
        <f>C28*B28</f>
        <v>29594.09198631029</v>
      </c>
      <c r="E28" s="3">
        <f>B$8/B28</f>
        <v>4.0625</v>
      </c>
      <c r="G28">
        <v>0.4</v>
      </c>
      <c r="H28" s="5">
        <v>32.5</v>
      </c>
      <c r="J28" s="35">
        <v>273</v>
      </c>
      <c r="K28" s="36" t="s">
        <v>119</v>
      </c>
      <c r="L28" s="37">
        <v>23762.3133333333</v>
      </c>
      <c r="M28" s="37">
        <v>12</v>
      </c>
      <c r="N28" s="37">
        <v>3</v>
      </c>
      <c r="O28" s="15">
        <f t="shared" si="1"/>
        <v>12515.315170145303</v>
      </c>
      <c r="P28" s="15">
        <f t="shared" si="2"/>
        <v>150183.78204174363</v>
      </c>
      <c r="Q28" s="15">
        <f t="shared" si="0"/>
        <v>285147.7599999996</v>
      </c>
      <c r="R28" s="15">
        <f t="shared" si="3"/>
        <v>23762.3133333333</v>
      </c>
    </row>
    <row r="29" spans="8:18" ht="12.75">
      <c r="H29" s="5"/>
      <c r="J29" s="35">
        <v>294</v>
      </c>
      <c r="K29" s="36" t="s">
        <v>119</v>
      </c>
      <c r="L29" s="37">
        <v>9738.196</v>
      </c>
      <c r="M29" s="37">
        <v>11</v>
      </c>
      <c r="N29" s="37">
        <v>0</v>
      </c>
      <c r="O29" s="15">
        <f t="shared" si="1"/>
        <v>12515.315170145303</v>
      </c>
      <c r="P29" s="15">
        <f t="shared" si="2"/>
        <v>137668.46687159833</v>
      </c>
      <c r="Q29" s="15">
        <f t="shared" si="0"/>
        <v>107120.156</v>
      </c>
      <c r="R29" s="15">
        <f t="shared" si="3"/>
        <v>9738.196</v>
      </c>
    </row>
    <row r="30" spans="8:18" ht="12.75">
      <c r="H30" s="5"/>
      <c r="J30" s="35">
        <v>295</v>
      </c>
      <c r="K30" s="36" t="s">
        <v>119</v>
      </c>
      <c r="L30" s="37">
        <v>10424.7472727273</v>
      </c>
      <c r="M30" s="37">
        <v>13</v>
      </c>
      <c r="N30" s="37">
        <v>2</v>
      </c>
      <c r="O30" s="15">
        <f t="shared" si="1"/>
        <v>12515.315170145303</v>
      </c>
      <c r="P30" s="15">
        <f t="shared" si="2"/>
        <v>162699.09721188893</v>
      </c>
      <c r="Q30" s="15">
        <f t="shared" si="0"/>
        <v>135521.7145454549</v>
      </c>
      <c r="R30" s="15">
        <f t="shared" si="3"/>
        <v>10424.7472727273</v>
      </c>
    </row>
    <row r="31" spans="8:18" ht="12.75">
      <c r="H31" s="5"/>
      <c r="J31" s="35">
        <v>310</v>
      </c>
      <c r="K31" s="36" t="s">
        <v>119</v>
      </c>
      <c r="L31" s="37">
        <v>8603.77145833333</v>
      </c>
      <c r="M31" s="37">
        <v>37</v>
      </c>
      <c r="N31" s="37">
        <v>0</v>
      </c>
      <c r="O31" s="15">
        <f t="shared" si="1"/>
        <v>12515.315170145303</v>
      </c>
      <c r="P31" s="15">
        <f t="shared" si="2"/>
        <v>463066.6612953762</v>
      </c>
      <c r="Q31" s="15">
        <f t="shared" si="0"/>
        <v>318339.54395833326</v>
      </c>
      <c r="R31" s="15">
        <f t="shared" si="3"/>
        <v>8603.77145833333</v>
      </c>
    </row>
    <row r="32" spans="8:18" ht="12.75">
      <c r="H32" s="5"/>
      <c r="J32" s="35">
        <v>351</v>
      </c>
      <c r="K32" s="36" t="s">
        <v>119</v>
      </c>
      <c r="L32" s="37">
        <v>15218.9667032967</v>
      </c>
      <c r="M32" s="37">
        <v>31</v>
      </c>
      <c r="N32" s="37">
        <v>3</v>
      </c>
      <c r="O32" s="15">
        <f t="shared" si="1"/>
        <v>12515.315170145303</v>
      </c>
      <c r="P32" s="15">
        <f t="shared" si="2"/>
        <v>387974.7702745044</v>
      </c>
      <c r="Q32" s="15">
        <f t="shared" si="0"/>
        <v>471787.96780219773</v>
      </c>
      <c r="R32" s="15">
        <f t="shared" si="3"/>
        <v>15218.9667032967</v>
      </c>
    </row>
    <row r="33" spans="1:18" ht="12.75">
      <c r="A33" t="s">
        <v>12</v>
      </c>
      <c r="H33" s="5"/>
      <c r="J33" s="35">
        <v>363</v>
      </c>
      <c r="K33" s="36" t="s">
        <v>119</v>
      </c>
      <c r="L33" s="37">
        <v>11040.99</v>
      </c>
      <c r="M33" s="37">
        <v>5</v>
      </c>
      <c r="N33" s="37">
        <v>0</v>
      </c>
      <c r="O33" s="15">
        <f t="shared" si="1"/>
        <v>12515.315170145303</v>
      </c>
      <c r="P33" s="15">
        <f t="shared" si="2"/>
        <v>62576.57585072651</v>
      </c>
      <c r="Q33" s="15">
        <f t="shared" si="0"/>
        <v>55204.95</v>
      </c>
      <c r="R33" s="15">
        <f t="shared" si="3"/>
        <v>11040.99</v>
      </c>
    </row>
    <row r="34" spans="1:18" ht="12.75">
      <c r="A34" t="s">
        <v>24</v>
      </c>
      <c r="B34">
        <f>20/H34</f>
        <v>0.08928571428571429</v>
      </c>
      <c r="C34" s="15">
        <v>42914.98927153859</v>
      </c>
      <c r="D34" s="15">
        <f>C34*B34</f>
        <v>3831.695470673088</v>
      </c>
      <c r="E34">
        <f>B$5/B34</f>
        <v>224</v>
      </c>
      <c r="G34">
        <v>0.5</v>
      </c>
      <c r="H34" s="5">
        <v>224</v>
      </c>
      <c r="J34" s="35">
        <v>367</v>
      </c>
      <c r="K34" s="36" t="s">
        <v>119</v>
      </c>
      <c r="L34" s="37">
        <v>10285.2907142857</v>
      </c>
      <c r="M34" s="37">
        <v>32</v>
      </c>
      <c r="N34" s="37">
        <v>0</v>
      </c>
      <c r="O34" s="15">
        <f t="shared" si="1"/>
        <v>12515.315170145303</v>
      </c>
      <c r="P34" s="15">
        <f t="shared" si="2"/>
        <v>400490.0854446497</v>
      </c>
      <c r="Q34" s="15">
        <f t="shared" si="0"/>
        <v>329129.3028571424</v>
      </c>
      <c r="R34" s="15">
        <f t="shared" si="3"/>
        <v>10285.2907142857</v>
      </c>
    </row>
    <row r="35" spans="1:18" ht="12.75">
      <c r="A35" t="s">
        <v>25</v>
      </c>
      <c r="B35">
        <f>20/H35</f>
        <v>0.08928571428571429</v>
      </c>
      <c r="C35" s="15">
        <v>38216.04733492906</v>
      </c>
      <c r="D35" s="15">
        <f>C35*B35</f>
        <v>3412.1470834758093</v>
      </c>
      <c r="E35">
        <f>B$5/B35</f>
        <v>224</v>
      </c>
      <c r="G35">
        <v>0.5</v>
      </c>
      <c r="H35" s="5">
        <v>224</v>
      </c>
      <c r="J35" s="35">
        <v>371</v>
      </c>
      <c r="K35" s="36" t="s">
        <v>119</v>
      </c>
      <c r="L35" s="37">
        <v>5733.68916666667</v>
      </c>
      <c r="M35" s="37">
        <v>13</v>
      </c>
      <c r="N35" s="37">
        <v>5</v>
      </c>
      <c r="O35" s="15">
        <f t="shared" si="1"/>
        <v>12515.315170145303</v>
      </c>
      <c r="P35" s="15">
        <f t="shared" si="2"/>
        <v>162699.09721188893</v>
      </c>
      <c r="Q35" s="15">
        <f t="shared" si="0"/>
        <v>74537.95916666671</v>
      </c>
      <c r="R35" s="15">
        <f t="shared" si="3"/>
        <v>5733.68916666667</v>
      </c>
    </row>
    <row r="36" spans="1:18" ht="12.75">
      <c r="A36" t="s">
        <v>26</v>
      </c>
      <c r="B36">
        <f>80*180</f>
        <v>14400</v>
      </c>
      <c r="D36" s="15">
        <f>0.26*B36</f>
        <v>3744</v>
      </c>
      <c r="G36" s="7">
        <v>8100</v>
      </c>
      <c r="H36" s="5" t="s">
        <v>10</v>
      </c>
      <c r="J36" s="35">
        <v>372</v>
      </c>
      <c r="K36" s="36" t="s">
        <v>119</v>
      </c>
      <c r="L36" s="37">
        <v>8529.00326923077</v>
      </c>
      <c r="M36" s="37">
        <v>45</v>
      </c>
      <c r="N36" s="37">
        <v>7</v>
      </c>
      <c r="O36" s="15">
        <f t="shared" si="1"/>
        <v>12515.315170145303</v>
      </c>
      <c r="P36" s="15">
        <f t="shared" si="2"/>
        <v>563189.1826565387</v>
      </c>
      <c r="Q36" s="15">
        <f t="shared" si="0"/>
        <v>383805.1471153847</v>
      </c>
      <c r="R36" s="15">
        <f t="shared" si="3"/>
        <v>8529.00326923077</v>
      </c>
    </row>
    <row r="37" spans="8:18" ht="12.75">
      <c r="H37" s="5"/>
      <c r="J37" s="35">
        <v>378</v>
      </c>
      <c r="K37" s="36" t="s">
        <v>119</v>
      </c>
      <c r="L37" s="37">
        <v>9342.63619047619</v>
      </c>
      <c r="M37" s="37">
        <v>31</v>
      </c>
      <c r="N37" s="37">
        <v>1</v>
      </c>
      <c r="O37" s="15">
        <f t="shared" si="1"/>
        <v>12515.315170145303</v>
      </c>
      <c r="P37" s="15">
        <f t="shared" si="2"/>
        <v>387974.7702745044</v>
      </c>
      <c r="Q37" s="15">
        <f t="shared" si="0"/>
        <v>289621.7219047619</v>
      </c>
      <c r="R37" s="15">
        <f t="shared" si="3"/>
        <v>9342.63619047619</v>
      </c>
    </row>
    <row r="38" spans="1:18" ht="12.75">
      <c r="A38" t="s">
        <v>27</v>
      </c>
      <c r="H38" s="5"/>
      <c r="J38" s="35">
        <v>389</v>
      </c>
      <c r="K38" s="36" t="s">
        <v>119</v>
      </c>
      <c r="L38" s="37">
        <v>5930.32428571429</v>
      </c>
      <c r="M38" s="37">
        <v>10</v>
      </c>
      <c r="N38" s="37">
        <v>3</v>
      </c>
      <c r="O38" s="15">
        <f t="shared" si="1"/>
        <v>12515.315170145303</v>
      </c>
      <c r="P38" s="15">
        <f t="shared" si="2"/>
        <v>125153.15170145303</v>
      </c>
      <c r="Q38" s="15">
        <f t="shared" si="0"/>
        <v>59303.242857142905</v>
      </c>
      <c r="R38" s="15">
        <f t="shared" si="3"/>
        <v>5930.32428571429</v>
      </c>
    </row>
    <row r="39" spans="1:18" ht="12.75">
      <c r="A39" t="s">
        <v>13</v>
      </c>
      <c r="B39">
        <f>20/H39</f>
        <v>0.08928571428571429</v>
      </c>
      <c r="C39" s="15">
        <v>66157.3544068731</v>
      </c>
      <c r="D39" s="15">
        <f>C39*B39</f>
        <v>5906.906643470813</v>
      </c>
      <c r="G39">
        <v>0.5</v>
      </c>
      <c r="H39" s="5">
        <v>224</v>
      </c>
      <c r="J39" s="35">
        <v>391</v>
      </c>
      <c r="K39" s="36" t="s">
        <v>119</v>
      </c>
      <c r="L39" s="37">
        <v>9902.86171428572</v>
      </c>
      <c r="M39" s="37">
        <v>33</v>
      </c>
      <c r="N39" s="37">
        <v>5</v>
      </c>
      <c r="O39" s="15">
        <f t="shared" si="1"/>
        <v>12515.315170145303</v>
      </c>
      <c r="P39" s="15">
        <f t="shared" si="2"/>
        <v>413005.400614795</v>
      </c>
      <c r="Q39" s="15">
        <f t="shared" si="0"/>
        <v>326794.4365714288</v>
      </c>
      <c r="R39" s="15">
        <f t="shared" si="3"/>
        <v>9902.86171428572</v>
      </c>
    </row>
    <row r="40" spans="1:18" ht="12.75">
      <c r="A40" t="s">
        <v>14</v>
      </c>
      <c r="B40">
        <f>20/H40</f>
        <v>0.17857142857142858</v>
      </c>
      <c r="C40" s="15">
        <v>25044.977520676086</v>
      </c>
      <c r="D40" s="15">
        <f>C40*B40</f>
        <v>4472.317414406444</v>
      </c>
      <c r="G40">
        <v>1</v>
      </c>
      <c r="H40" s="5">
        <v>112</v>
      </c>
      <c r="J40" s="35">
        <v>437</v>
      </c>
      <c r="K40" s="36" t="s">
        <v>119</v>
      </c>
      <c r="L40" s="37">
        <v>11697.08</v>
      </c>
      <c r="M40" s="37">
        <v>5</v>
      </c>
      <c r="N40" s="37">
        <v>0</v>
      </c>
      <c r="O40" s="15">
        <f t="shared" si="1"/>
        <v>12515.315170145303</v>
      </c>
      <c r="P40" s="15">
        <f t="shared" si="2"/>
        <v>62576.57585072651</v>
      </c>
      <c r="Q40" s="15">
        <f t="shared" si="0"/>
        <v>58485.4</v>
      </c>
      <c r="R40" s="15">
        <f t="shared" si="3"/>
        <v>11697.08</v>
      </c>
    </row>
    <row r="41" spans="10:18" ht="12.75">
      <c r="J41" s="35">
        <v>476</v>
      </c>
      <c r="K41" s="36" t="s">
        <v>119</v>
      </c>
      <c r="L41" s="37">
        <v>11624.45625</v>
      </c>
      <c r="M41" s="37">
        <v>21</v>
      </c>
      <c r="N41" s="37">
        <v>1</v>
      </c>
      <c r="O41" s="15">
        <f t="shared" si="1"/>
        <v>12515.315170145303</v>
      </c>
      <c r="P41" s="15">
        <f t="shared" si="2"/>
        <v>262821.61857305135</v>
      </c>
      <c r="Q41" s="15">
        <f t="shared" si="0"/>
        <v>244113.58125</v>
      </c>
      <c r="R41" s="15">
        <f t="shared" si="3"/>
        <v>11624.45625</v>
      </c>
    </row>
    <row r="42" spans="1:18" ht="12.75">
      <c r="A42" t="s">
        <v>28</v>
      </c>
      <c r="H42" t="s">
        <v>35</v>
      </c>
      <c r="J42" s="35">
        <v>479</v>
      </c>
      <c r="K42" s="36" t="s">
        <v>119</v>
      </c>
      <c r="L42" s="37">
        <v>6841.07230769231</v>
      </c>
      <c r="M42" s="37">
        <v>12</v>
      </c>
      <c r="N42" s="37">
        <v>0</v>
      </c>
      <c r="O42" s="15">
        <f t="shared" si="1"/>
        <v>12515.315170145303</v>
      </c>
      <c r="P42" s="15">
        <f t="shared" si="2"/>
        <v>150183.78204174363</v>
      </c>
      <c r="Q42" s="15">
        <f t="shared" si="0"/>
        <v>82092.86769230771</v>
      </c>
      <c r="R42" s="15">
        <f t="shared" si="3"/>
        <v>6841.07230769231</v>
      </c>
    </row>
    <row r="43" spans="1:18" ht="12.75">
      <c r="A43" t="s">
        <v>29</v>
      </c>
      <c r="B43">
        <v>250</v>
      </c>
      <c r="D43" s="15">
        <v>250</v>
      </c>
      <c r="H43">
        <v>250</v>
      </c>
      <c r="J43" s="35">
        <v>481</v>
      </c>
      <c r="K43" s="36" t="s">
        <v>119</v>
      </c>
      <c r="L43" s="37">
        <v>6423.55764705882</v>
      </c>
      <c r="M43" s="37">
        <v>10</v>
      </c>
      <c r="N43" s="37">
        <v>1</v>
      </c>
      <c r="O43" s="15">
        <f t="shared" si="1"/>
        <v>12515.315170145303</v>
      </c>
      <c r="P43" s="15">
        <f t="shared" si="2"/>
        <v>125153.15170145303</v>
      </c>
      <c r="Q43" s="15">
        <f t="shared" si="0"/>
        <v>64235.5764705882</v>
      </c>
      <c r="R43" s="15">
        <f t="shared" si="3"/>
        <v>6423.55764705882</v>
      </c>
    </row>
    <row r="44" spans="1:18" ht="12.75">
      <c r="A44" t="s">
        <v>30</v>
      </c>
      <c r="B44">
        <v>100</v>
      </c>
      <c r="D44" s="15">
        <v>100</v>
      </c>
      <c r="H44">
        <v>50</v>
      </c>
      <c r="J44" s="35">
        <v>484</v>
      </c>
      <c r="K44" s="36" t="s">
        <v>119</v>
      </c>
      <c r="L44" s="37">
        <v>5957.50764705882</v>
      </c>
      <c r="M44" s="37">
        <v>14</v>
      </c>
      <c r="N44" s="37">
        <v>0</v>
      </c>
      <c r="O44" s="15">
        <f t="shared" si="1"/>
        <v>12515.315170145303</v>
      </c>
      <c r="P44" s="15">
        <f t="shared" si="2"/>
        <v>175214.41238203424</v>
      </c>
      <c r="Q44" s="15">
        <f t="shared" si="0"/>
        <v>83405.10705882349</v>
      </c>
      <c r="R44" s="15">
        <f t="shared" si="3"/>
        <v>5957.50764705882</v>
      </c>
    </row>
    <row r="45" spans="1:18" ht="12.75">
      <c r="A45" t="s">
        <v>31</v>
      </c>
      <c r="B45">
        <v>500</v>
      </c>
      <c r="D45" s="15">
        <v>500</v>
      </c>
      <c r="H45">
        <v>275</v>
      </c>
      <c r="J45" s="35">
        <v>489</v>
      </c>
      <c r="K45" s="36" t="s">
        <v>119</v>
      </c>
      <c r="L45" s="37">
        <v>6102.38305084746</v>
      </c>
      <c r="M45" s="37">
        <v>46</v>
      </c>
      <c r="N45" s="37">
        <v>2</v>
      </c>
      <c r="O45" s="15">
        <f t="shared" si="1"/>
        <v>12515.315170145303</v>
      </c>
      <c r="P45" s="15">
        <f t="shared" si="2"/>
        <v>575704.4978266839</v>
      </c>
      <c r="Q45" s="15">
        <f t="shared" si="0"/>
        <v>280709.6203389832</v>
      </c>
      <c r="R45" s="15">
        <f t="shared" si="3"/>
        <v>6102.383050847461</v>
      </c>
    </row>
    <row r="46" spans="1:18" ht="12.75">
      <c r="A46" t="s">
        <v>32</v>
      </c>
      <c r="B46">
        <v>50</v>
      </c>
      <c r="D46" s="15">
        <v>50</v>
      </c>
      <c r="H46">
        <v>20</v>
      </c>
      <c r="J46" s="35">
        <v>492</v>
      </c>
      <c r="K46" s="36" t="s">
        <v>119</v>
      </c>
      <c r="L46" s="37">
        <v>5690.72866666667</v>
      </c>
      <c r="M46" s="37">
        <v>17</v>
      </c>
      <c r="N46" s="37">
        <v>1</v>
      </c>
      <c r="O46" s="15">
        <f t="shared" si="1"/>
        <v>12515.315170145303</v>
      </c>
      <c r="P46" s="15">
        <f t="shared" si="2"/>
        <v>212760.35789247014</v>
      </c>
      <c r="Q46" s="15">
        <f t="shared" si="0"/>
        <v>96742.38733333338</v>
      </c>
      <c r="R46" s="15">
        <f t="shared" si="3"/>
        <v>5690.72866666667</v>
      </c>
    </row>
    <row r="47" spans="1:18" ht="12.75">
      <c r="A47" t="s">
        <v>33</v>
      </c>
      <c r="B47">
        <v>75</v>
      </c>
      <c r="D47" s="15">
        <v>75</v>
      </c>
      <c r="H47">
        <v>50</v>
      </c>
      <c r="J47" s="35">
        <v>511</v>
      </c>
      <c r="K47" s="36" t="s">
        <v>119</v>
      </c>
      <c r="L47" s="37">
        <v>9329.784</v>
      </c>
      <c r="M47" s="37">
        <v>4</v>
      </c>
      <c r="N47" s="37">
        <v>0</v>
      </c>
      <c r="O47" s="15">
        <f t="shared" si="1"/>
        <v>12515.315170145303</v>
      </c>
      <c r="P47" s="15">
        <f t="shared" si="2"/>
        <v>50061.26068058121</v>
      </c>
      <c r="Q47" s="15">
        <f t="shared" si="0"/>
        <v>37319.136</v>
      </c>
      <c r="R47" s="15">
        <f t="shared" si="3"/>
        <v>9329.784</v>
      </c>
    </row>
    <row r="48" spans="1:18" ht="12.75">
      <c r="A48" t="s">
        <v>34</v>
      </c>
      <c r="B48">
        <v>25</v>
      </c>
      <c r="D48" s="15">
        <v>25</v>
      </c>
      <c r="J48" s="35">
        <v>516</v>
      </c>
      <c r="K48" s="36" t="s">
        <v>119</v>
      </c>
      <c r="L48" s="37">
        <v>6628.79</v>
      </c>
      <c r="M48" s="37">
        <v>9</v>
      </c>
      <c r="N48" s="37">
        <v>0</v>
      </c>
      <c r="O48" s="15">
        <f t="shared" si="1"/>
        <v>12515.315170145303</v>
      </c>
      <c r="P48" s="15">
        <f t="shared" si="2"/>
        <v>112637.83653130772</v>
      </c>
      <c r="Q48" s="15">
        <f t="shared" si="0"/>
        <v>59659.11</v>
      </c>
      <c r="R48" s="15">
        <f t="shared" si="3"/>
        <v>6628.79</v>
      </c>
    </row>
    <row r="49" spans="10:18" ht="12.75">
      <c r="J49" s="35">
        <v>518</v>
      </c>
      <c r="K49" s="36" t="s">
        <v>119</v>
      </c>
      <c r="L49" s="37">
        <v>33784.05</v>
      </c>
      <c r="M49" s="37">
        <v>1</v>
      </c>
      <c r="N49" s="37">
        <v>0</v>
      </c>
      <c r="O49" s="15">
        <f t="shared" si="1"/>
        <v>12515.315170145303</v>
      </c>
      <c r="P49" s="15">
        <f t="shared" si="2"/>
        <v>12515.315170145303</v>
      </c>
      <c r="Q49" s="15">
        <f t="shared" si="0"/>
        <v>33784.05</v>
      </c>
      <c r="R49" s="15">
        <f t="shared" si="3"/>
        <v>33784.05</v>
      </c>
    </row>
    <row r="50" spans="1:18" ht="12.75">
      <c r="A50" t="s">
        <v>134</v>
      </c>
      <c r="D50" s="15">
        <f>SUM(D11:D40)+SUM(D43:D48)*B5</f>
        <v>215651.71286874358</v>
      </c>
      <c r="J50" s="35">
        <v>520</v>
      </c>
      <c r="K50" s="36" t="s">
        <v>119</v>
      </c>
      <c r="L50" s="37">
        <v>5981.15538461538</v>
      </c>
      <c r="M50" s="37">
        <v>9</v>
      </c>
      <c r="N50" s="37">
        <v>0</v>
      </c>
      <c r="O50" s="15">
        <f t="shared" si="1"/>
        <v>12515.315170145303</v>
      </c>
      <c r="P50" s="15">
        <f t="shared" si="2"/>
        <v>112637.83653130772</v>
      </c>
      <c r="Q50" s="15">
        <f t="shared" si="0"/>
        <v>53830.398461538425</v>
      </c>
      <c r="R50" s="15">
        <f t="shared" si="3"/>
        <v>5981.15538461538</v>
      </c>
    </row>
    <row r="51" spans="1:18" ht="12.75">
      <c r="A51" t="s">
        <v>137</v>
      </c>
      <c r="D51" s="15">
        <f>D50/20</f>
        <v>10782.585643437178</v>
      </c>
      <c r="J51" s="35">
        <v>527</v>
      </c>
      <c r="K51" s="36" t="s">
        <v>119</v>
      </c>
      <c r="L51" s="37">
        <v>9099.962</v>
      </c>
      <c r="M51" s="37">
        <v>6</v>
      </c>
      <c r="N51" s="37">
        <v>0</v>
      </c>
      <c r="O51" s="15">
        <f t="shared" si="1"/>
        <v>12515.315170145303</v>
      </c>
      <c r="P51" s="15">
        <f t="shared" si="2"/>
        <v>75091.89102087182</v>
      </c>
      <c r="Q51" s="15">
        <f t="shared" si="0"/>
        <v>54599.772</v>
      </c>
      <c r="R51" s="15">
        <f t="shared" si="3"/>
        <v>9099.962</v>
      </c>
    </row>
    <row r="52" spans="1:18" ht="12.75">
      <c r="A52" t="s">
        <v>138</v>
      </c>
      <c r="D52" s="15">
        <v>1732.7295267081247</v>
      </c>
      <c r="J52" s="35">
        <v>531</v>
      </c>
      <c r="K52" s="36" t="s">
        <v>119</v>
      </c>
      <c r="L52" s="37">
        <v>10692.0716666667</v>
      </c>
      <c r="M52" s="37">
        <v>6</v>
      </c>
      <c r="N52" s="37">
        <v>0</v>
      </c>
      <c r="O52" s="15">
        <f t="shared" si="1"/>
        <v>12515.315170145303</v>
      </c>
      <c r="P52" s="15">
        <f t="shared" si="2"/>
        <v>75091.89102087182</v>
      </c>
      <c r="Q52" s="15">
        <f t="shared" si="0"/>
        <v>64152.4300000002</v>
      </c>
      <c r="R52" s="15">
        <f t="shared" si="3"/>
        <v>10692.0716666667</v>
      </c>
    </row>
    <row r="53" spans="1:18" ht="12.75">
      <c r="A53" t="s">
        <v>139</v>
      </c>
      <c r="D53" s="15">
        <f>SUM(D51:D52)</f>
        <v>12515.315170145303</v>
      </c>
      <c r="J53" s="35">
        <v>555</v>
      </c>
      <c r="K53" s="36" t="s">
        <v>119</v>
      </c>
      <c r="L53" s="37">
        <v>26958.0724637681</v>
      </c>
      <c r="M53" s="37">
        <v>41</v>
      </c>
      <c r="N53" s="37">
        <v>5</v>
      </c>
      <c r="O53" s="15">
        <f t="shared" si="1"/>
        <v>12515.315170145303</v>
      </c>
      <c r="P53" s="15">
        <f t="shared" si="2"/>
        <v>513127.9219759574</v>
      </c>
      <c r="Q53" s="15">
        <f t="shared" si="0"/>
        <v>1105280.9710144922</v>
      </c>
      <c r="R53" s="15">
        <f t="shared" si="3"/>
        <v>26958.0724637681</v>
      </c>
    </row>
    <row r="54" spans="1:18" ht="12.75">
      <c r="A54" t="s">
        <v>136</v>
      </c>
      <c r="D54" s="15">
        <f>+'Additional Costs'!B16</f>
        <v>1120.9674845874997</v>
      </c>
      <c r="J54" s="35">
        <v>562</v>
      </c>
      <c r="K54" s="36" t="s">
        <v>119</v>
      </c>
      <c r="L54" s="37">
        <v>7700.846</v>
      </c>
      <c r="M54" s="37">
        <v>21</v>
      </c>
      <c r="N54" s="37">
        <v>4</v>
      </c>
      <c r="O54" s="15">
        <f t="shared" si="1"/>
        <v>12515.315170145303</v>
      </c>
      <c r="P54" s="15">
        <f t="shared" si="2"/>
        <v>262821.61857305135</v>
      </c>
      <c r="Q54" s="15">
        <f t="shared" si="0"/>
        <v>161717.766</v>
      </c>
      <c r="R54" s="15">
        <f t="shared" si="3"/>
        <v>7700.8460000000005</v>
      </c>
    </row>
    <row r="55" spans="1:18" ht="12.75">
      <c r="A55" t="s">
        <v>208</v>
      </c>
      <c r="D55" s="15">
        <f>+'Additional Costs'!B25</f>
        <v>10291.435523393748</v>
      </c>
      <c r="J55" s="35">
        <v>569</v>
      </c>
      <c r="K55" s="36" t="s">
        <v>119</v>
      </c>
      <c r="L55" s="37">
        <v>10821.793</v>
      </c>
      <c r="M55" s="37">
        <v>12</v>
      </c>
      <c r="N55" s="37">
        <v>0</v>
      </c>
      <c r="O55" s="15">
        <f t="shared" si="1"/>
        <v>12515.315170145303</v>
      </c>
      <c r="P55" s="15">
        <f t="shared" si="2"/>
        <v>150183.78204174363</v>
      </c>
      <c r="Q55" s="15">
        <f t="shared" si="0"/>
        <v>129861.516</v>
      </c>
      <c r="R55" s="15">
        <f t="shared" si="3"/>
        <v>10821.793</v>
      </c>
    </row>
    <row r="56" spans="1:18" ht="12.75">
      <c r="A56" t="s">
        <v>209</v>
      </c>
      <c r="D56" s="15">
        <f>+D55+D54</f>
        <v>11412.403007981247</v>
      </c>
      <c r="J56" s="35">
        <v>590</v>
      </c>
      <c r="K56" s="36" t="s">
        <v>119</v>
      </c>
      <c r="L56" s="37">
        <v>10475.5238938053</v>
      </c>
      <c r="M56" s="37">
        <v>38</v>
      </c>
      <c r="N56" s="37">
        <v>2</v>
      </c>
      <c r="O56" s="15">
        <f t="shared" si="1"/>
        <v>12515.315170145303</v>
      </c>
      <c r="P56" s="15">
        <f t="shared" si="2"/>
        <v>475581.9764655215</v>
      </c>
      <c r="Q56" s="15">
        <f t="shared" si="0"/>
        <v>398069.9079646014</v>
      </c>
      <c r="R56" s="15">
        <f t="shared" si="3"/>
        <v>10475.5238938053</v>
      </c>
    </row>
    <row r="57" spans="10:18" ht="12.75">
      <c r="J57" s="35">
        <v>592</v>
      </c>
      <c r="K57" s="36" t="s">
        <v>119</v>
      </c>
      <c r="L57" s="37">
        <v>17088.18</v>
      </c>
      <c r="M57" s="37">
        <v>19</v>
      </c>
      <c r="N57" s="37">
        <v>1</v>
      </c>
      <c r="O57" s="15">
        <f t="shared" si="1"/>
        <v>12515.315170145303</v>
      </c>
      <c r="P57" s="15">
        <f t="shared" si="2"/>
        <v>237790.98823276075</v>
      </c>
      <c r="Q57" s="15">
        <f t="shared" si="0"/>
        <v>324675.42</v>
      </c>
      <c r="R57" s="15">
        <f t="shared" si="3"/>
        <v>17088.18</v>
      </c>
    </row>
    <row r="58" spans="10:18" ht="12.75">
      <c r="J58" s="35">
        <v>609</v>
      </c>
      <c r="K58" s="36" t="s">
        <v>119</v>
      </c>
      <c r="L58" s="37">
        <v>6511.90047619048</v>
      </c>
      <c r="M58" s="37">
        <v>21</v>
      </c>
      <c r="N58" s="37">
        <v>0</v>
      </c>
      <c r="O58" s="15">
        <f t="shared" si="1"/>
        <v>12515.315170145303</v>
      </c>
      <c r="P58" s="15">
        <f t="shared" si="2"/>
        <v>262821.61857305135</v>
      </c>
      <c r="Q58" s="15">
        <f t="shared" si="0"/>
        <v>136749.9100000001</v>
      </c>
      <c r="R58" s="15">
        <f t="shared" si="3"/>
        <v>6511.900476190481</v>
      </c>
    </row>
    <row r="59" spans="10:18" ht="12.75">
      <c r="J59" s="35">
        <v>612</v>
      </c>
      <c r="K59" s="36" t="s">
        <v>119</v>
      </c>
      <c r="L59" s="37">
        <v>6791.69023809524</v>
      </c>
      <c r="M59" s="37">
        <v>43</v>
      </c>
      <c r="N59" s="37">
        <v>3</v>
      </c>
      <c r="O59" s="15">
        <f t="shared" si="1"/>
        <v>12515.315170145303</v>
      </c>
      <c r="P59" s="15">
        <f t="shared" si="2"/>
        <v>538158.552316248</v>
      </c>
      <c r="Q59" s="15">
        <f t="shared" si="0"/>
        <v>292042.6802380953</v>
      </c>
      <c r="R59" s="15">
        <f t="shared" si="3"/>
        <v>6791.690238095239</v>
      </c>
    </row>
    <row r="60" spans="10:18" ht="12.75">
      <c r="J60" s="35">
        <v>625</v>
      </c>
      <c r="K60" s="36" t="s">
        <v>119</v>
      </c>
      <c r="L60" s="37">
        <v>5260.49142857143</v>
      </c>
      <c r="M60" s="37">
        <v>8</v>
      </c>
      <c r="N60" s="37">
        <v>0</v>
      </c>
      <c r="O60" s="15">
        <f t="shared" si="1"/>
        <v>12515.315170145303</v>
      </c>
      <c r="P60" s="15">
        <f t="shared" si="2"/>
        <v>100122.52136116242</v>
      </c>
      <c r="Q60" s="15">
        <f t="shared" si="0"/>
        <v>42083.93142857144</v>
      </c>
      <c r="R60" s="15">
        <f t="shared" si="3"/>
        <v>5260.49142857143</v>
      </c>
    </row>
    <row r="61" spans="10:18" ht="12.75">
      <c r="J61" s="35">
        <v>626</v>
      </c>
      <c r="K61" s="36" t="s">
        <v>119</v>
      </c>
      <c r="L61" s="37">
        <v>6944.04918918919</v>
      </c>
      <c r="M61" s="37">
        <v>35</v>
      </c>
      <c r="N61" s="37">
        <v>6</v>
      </c>
      <c r="O61" s="15">
        <f t="shared" si="1"/>
        <v>12515.315170145303</v>
      </c>
      <c r="P61" s="15">
        <f t="shared" si="2"/>
        <v>438036.0309550856</v>
      </c>
      <c r="Q61" s="15">
        <f t="shared" si="0"/>
        <v>243041.72162162163</v>
      </c>
      <c r="R61" s="15">
        <f t="shared" si="3"/>
        <v>6944.04918918919</v>
      </c>
    </row>
    <row r="62" spans="10:18" ht="12.75">
      <c r="J62" s="35">
        <v>645</v>
      </c>
      <c r="K62" s="36" t="s">
        <v>119</v>
      </c>
      <c r="L62" s="37">
        <v>6715.61869565217</v>
      </c>
      <c r="M62" s="37">
        <v>25</v>
      </c>
      <c r="N62" s="37">
        <v>5</v>
      </c>
      <c r="O62" s="15">
        <f t="shared" si="1"/>
        <v>12515.315170145303</v>
      </c>
      <c r="P62" s="15">
        <f t="shared" si="2"/>
        <v>312882.87925363256</v>
      </c>
      <c r="Q62" s="15">
        <f t="shared" si="0"/>
        <v>167890.46739130424</v>
      </c>
      <c r="R62" s="15">
        <f t="shared" si="3"/>
        <v>6715.61869565217</v>
      </c>
    </row>
    <row r="63" spans="10:18" ht="12.75">
      <c r="J63" s="35">
        <v>646</v>
      </c>
      <c r="K63" s="36" t="s">
        <v>119</v>
      </c>
      <c r="L63" s="37">
        <v>17700.94875</v>
      </c>
      <c r="M63" s="37">
        <v>28</v>
      </c>
      <c r="N63" s="37">
        <v>0</v>
      </c>
      <c r="O63" s="15">
        <f t="shared" si="1"/>
        <v>12515.315170145303</v>
      </c>
      <c r="P63" s="15">
        <f t="shared" si="2"/>
        <v>350428.8247640685</v>
      </c>
      <c r="Q63" s="15">
        <f t="shared" si="0"/>
        <v>495626.565</v>
      </c>
      <c r="R63" s="15">
        <f t="shared" si="3"/>
        <v>17700.94875</v>
      </c>
    </row>
    <row r="64" spans="10:18" ht="12.75">
      <c r="J64" s="35">
        <v>649</v>
      </c>
      <c r="K64" s="36" t="s">
        <v>119</v>
      </c>
      <c r="L64" s="37">
        <v>10131.07625</v>
      </c>
      <c r="M64" s="37">
        <v>6</v>
      </c>
      <c r="N64" s="37">
        <v>0</v>
      </c>
      <c r="O64" s="15">
        <f t="shared" si="1"/>
        <v>12515.315170145303</v>
      </c>
      <c r="P64" s="15">
        <f t="shared" si="2"/>
        <v>75091.89102087182</v>
      </c>
      <c r="Q64" s="15">
        <f t="shared" si="0"/>
        <v>60786.457500000004</v>
      </c>
      <c r="R64" s="15">
        <f t="shared" si="3"/>
        <v>10131.07625</v>
      </c>
    </row>
    <row r="65" spans="10:18" ht="12.75">
      <c r="J65" s="35">
        <v>664</v>
      </c>
      <c r="K65" s="36" t="s">
        <v>119</v>
      </c>
      <c r="L65" s="37">
        <v>23054.5111111111</v>
      </c>
      <c r="M65" s="37">
        <v>9</v>
      </c>
      <c r="N65" s="37">
        <v>2</v>
      </c>
      <c r="O65" s="15">
        <f t="shared" si="1"/>
        <v>12515.315170145303</v>
      </c>
      <c r="P65" s="15">
        <f t="shared" si="2"/>
        <v>112637.83653130772</v>
      </c>
      <c r="Q65" s="15">
        <f t="shared" si="0"/>
        <v>207490.5999999999</v>
      </c>
      <c r="R65" s="15">
        <f t="shared" si="3"/>
        <v>23054.5111111111</v>
      </c>
    </row>
    <row r="66" spans="10:18" ht="12.75">
      <c r="J66" s="35">
        <v>668</v>
      </c>
      <c r="K66" s="36" t="s">
        <v>119</v>
      </c>
      <c r="L66" s="37">
        <v>8568.82769230769</v>
      </c>
      <c r="M66" s="37">
        <v>12</v>
      </c>
      <c r="N66" s="37">
        <v>1</v>
      </c>
      <c r="O66" s="15">
        <f t="shared" si="1"/>
        <v>12515.315170145303</v>
      </c>
      <c r="P66" s="15">
        <f t="shared" si="2"/>
        <v>150183.78204174363</v>
      </c>
      <c r="Q66" s="15">
        <f aca="true" t="shared" si="4" ref="Q66:Q129">L66*M66</f>
        <v>102825.93230769227</v>
      </c>
      <c r="R66" s="15">
        <f t="shared" si="3"/>
        <v>8568.82769230769</v>
      </c>
    </row>
    <row r="67" spans="10:18" ht="12.75">
      <c r="J67" s="35">
        <v>670</v>
      </c>
      <c r="K67" s="36" t="s">
        <v>119</v>
      </c>
      <c r="L67" s="37">
        <v>8208.77111111111</v>
      </c>
      <c r="M67" s="37">
        <v>2</v>
      </c>
      <c r="N67" s="37">
        <v>0</v>
      </c>
      <c r="O67" s="15">
        <f aca="true" t="shared" si="5" ref="O67:O130">+$D$53</f>
        <v>12515.315170145303</v>
      </c>
      <c r="P67" s="15">
        <f aca="true" t="shared" si="6" ref="P67:P130">M67*O67</f>
        <v>25030.630340290605</v>
      </c>
      <c r="Q67" s="15">
        <f t="shared" si="4"/>
        <v>16417.54222222222</v>
      </c>
      <c r="R67" s="15">
        <f aca="true" t="shared" si="7" ref="R67:R130">Q67/M67</f>
        <v>8208.77111111111</v>
      </c>
    </row>
    <row r="68" spans="10:18" ht="12.75">
      <c r="J68" s="35">
        <v>671</v>
      </c>
      <c r="K68" s="36" t="s">
        <v>119</v>
      </c>
      <c r="L68" s="37">
        <v>5047.74290322581</v>
      </c>
      <c r="M68" s="37">
        <v>24</v>
      </c>
      <c r="N68" s="37">
        <v>4</v>
      </c>
      <c r="O68" s="15">
        <f t="shared" si="5"/>
        <v>12515.315170145303</v>
      </c>
      <c r="P68" s="15">
        <f t="shared" si="6"/>
        <v>300367.56408348726</v>
      </c>
      <c r="Q68" s="15">
        <f t="shared" si="4"/>
        <v>121145.82967741943</v>
      </c>
      <c r="R68" s="15">
        <f t="shared" si="7"/>
        <v>5047.74290322581</v>
      </c>
    </row>
    <row r="69" spans="10:18" ht="12.75">
      <c r="J69" s="35">
        <v>676</v>
      </c>
      <c r="K69" s="36" t="s">
        <v>119</v>
      </c>
      <c r="L69" s="37">
        <v>5159.91506849315</v>
      </c>
      <c r="M69" s="37">
        <v>44</v>
      </c>
      <c r="N69" s="37">
        <v>7</v>
      </c>
      <c r="O69" s="15">
        <f t="shared" si="5"/>
        <v>12515.315170145303</v>
      </c>
      <c r="P69" s="15">
        <f t="shared" si="6"/>
        <v>550673.8674863933</v>
      </c>
      <c r="Q69" s="15">
        <f t="shared" si="4"/>
        <v>227036.2630136986</v>
      </c>
      <c r="R69" s="15">
        <f t="shared" si="7"/>
        <v>5159.91506849315</v>
      </c>
    </row>
    <row r="70" spans="10:18" ht="12.75">
      <c r="J70" s="35">
        <v>680</v>
      </c>
      <c r="K70" s="36" t="s">
        <v>119</v>
      </c>
      <c r="L70" s="37">
        <v>10241.445</v>
      </c>
      <c r="M70" s="37">
        <v>4</v>
      </c>
      <c r="N70" s="37">
        <v>0</v>
      </c>
      <c r="O70" s="15">
        <f t="shared" si="5"/>
        <v>12515.315170145303</v>
      </c>
      <c r="P70" s="15">
        <f t="shared" si="6"/>
        <v>50061.26068058121</v>
      </c>
      <c r="Q70" s="15">
        <f t="shared" si="4"/>
        <v>40965.78</v>
      </c>
      <c r="R70" s="15">
        <f t="shared" si="7"/>
        <v>10241.445</v>
      </c>
    </row>
    <row r="71" spans="10:18" ht="12.75">
      <c r="J71" s="35">
        <v>712</v>
      </c>
      <c r="K71" s="36" t="s">
        <v>119</v>
      </c>
      <c r="L71" s="37">
        <v>6727.96</v>
      </c>
      <c r="M71" s="37">
        <v>48</v>
      </c>
      <c r="N71" s="37">
        <v>3</v>
      </c>
      <c r="O71" s="15">
        <f t="shared" si="5"/>
        <v>12515.315170145303</v>
      </c>
      <c r="P71" s="15">
        <f t="shared" si="6"/>
        <v>600735.1281669745</v>
      </c>
      <c r="Q71" s="15">
        <f t="shared" si="4"/>
        <v>322942.08</v>
      </c>
      <c r="R71" s="15">
        <f t="shared" si="7"/>
        <v>6727.96</v>
      </c>
    </row>
    <row r="72" spans="10:18" ht="12.75">
      <c r="J72" s="35">
        <v>713</v>
      </c>
      <c r="K72" s="36" t="s">
        <v>119</v>
      </c>
      <c r="L72" s="37">
        <v>5793.71</v>
      </c>
      <c r="M72" s="37">
        <v>20</v>
      </c>
      <c r="N72" s="37">
        <v>0</v>
      </c>
      <c r="O72" s="15">
        <f t="shared" si="5"/>
        <v>12515.315170145303</v>
      </c>
      <c r="P72" s="15">
        <f t="shared" si="6"/>
        <v>250306.30340290605</v>
      </c>
      <c r="Q72" s="15">
        <f t="shared" si="4"/>
        <v>115874.2</v>
      </c>
      <c r="R72" s="15">
        <f t="shared" si="7"/>
        <v>5793.71</v>
      </c>
    </row>
    <row r="73" spans="10:18" ht="12.75">
      <c r="J73" s="35">
        <v>715</v>
      </c>
      <c r="K73" s="36" t="s">
        <v>119</v>
      </c>
      <c r="L73" s="37">
        <v>7529.12545454545</v>
      </c>
      <c r="M73" s="37">
        <v>3</v>
      </c>
      <c r="N73" s="37">
        <v>0</v>
      </c>
      <c r="O73" s="15">
        <f t="shared" si="5"/>
        <v>12515.315170145303</v>
      </c>
      <c r="P73" s="15">
        <f t="shared" si="6"/>
        <v>37545.94551043591</v>
      </c>
      <c r="Q73" s="15">
        <f t="shared" si="4"/>
        <v>22587.37636363635</v>
      </c>
      <c r="R73" s="15">
        <f t="shared" si="7"/>
        <v>7529.12545454545</v>
      </c>
    </row>
    <row r="74" spans="10:18" ht="12.75">
      <c r="J74" s="35">
        <v>716</v>
      </c>
      <c r="K74" s="36" t="s">
        <v>119</v>
      </c>
      <c r="L74" s="37">
        <v>7420.059</v>
      </c>
      <c r="M74" s="37">
        <v>7</v>
      </c>
      <c r="N74" s="37">
        <v>0</v>
      </c>
      <c r="O74" s="15">
        <f t="shared" si="5"/>
        <v>12515.315170145303</v>
      </c>
      <c r="P74" s="15">
        <f t="shared" si="6"/>
        <v>87607.20619101712</v>
      </c>
      <c r="Q74" s="15">
        <f t="shared" si="4"/>
        <v>51940.413</v>
      </c>
      <c r="R74" s="15">
        <f t="shared" si="7"/>
        <v>7420.059</v>
      </c>
    </row>
    <row r="75" spans="10:18" ht="12.75">
      <c r="J75" s="35">
        <v>719</v>
      </c>
      <c r="K75" s="36" t="s">
        <v>119</v>
      </c>
      <c r="L75" s="37">
        <v>7709.27875</v>
      </c>
      <c r="M75" s="37">
        <v>16</v>
      </c>
      <c r="N75" s="37">
        <v>0</v>
      </c>
      <c r="O75" s="15">
        <f t="shared" si="5"/>
        <v>12515.315170145303</v>
      </c>
      <c r="P75" s="15">
        <f t="shared" si="6"/>
        <v>200245.04272232484</v>
      </c>
      <c r="Q75" s="15">
        <f t="shared" si="4"/>
        <v>123348.46</v>
      </c>
      <c r="R75" s="15">
        <f t="shared" si="7"/>
        <v>7709.27875</v>
      </c>
    </row>
    <row r="76" spans="10:18" ht="12.75">
      <c r="J76" s="35">
        <v>726</v>
      </c>
      <c r="K76" s="36" t="s">
        <v>119</v>
      </c>
      <c r="L76" s="37">
        <v>10179.2048333333</v>
      </c>
      <c r="M76" s="37">
        <v>48</v>
      </c>
      <c r="N76" s="37">
        <v>1</v>
      </c>
      <c r="O76" s="15">
        <f t="shared" si="5"/>
        <v>12515.315170145303</v>
      </c>
      <c r="P76" s="15">
        <f t="shared" si="6"/>
        <v>600735.1281669745</v>
      </c>
      <c r="Q76" s="15">
        <f t="shared" si="4"/>
        <v>488601.8319999984</v>
      </c>
      <c r="R76" s="15">
        <f t="shared" si="7"/>
        <v>10179.2048333333</v>
      </c>
    </row>
    <row r="77" spans="10:18" ht="12.75">
      <c r="J77" s="35">
        <v>755</v>
      </c>
      <c r="K77" s="36" t="s">
        <v>119</v>
      </c>
      <c r="L77" s="37">
        <v>7433.04909090909</v>
      </c>
      <c r="M77" s="37">
        <v>18</v>
      </c>
      <c r="N77" s="37">
        <v>0</v>
      </c>
      <c r="O77" s="15">
        <f t="shared" si="5"/>
        <v>12515.315170145303</v>
      </c>
      <c r="P77" s="15">
        <f t="shared" si="6"/>
        <v>225275.67306261545</v>
      </c>
      <c r="Q77" s="15">
        <f t="shared" si="4"/>
        <v>133794.88363636364</v>
      </c>
      <c r="R77" s="15">
        <f t="shared" si="7"/>
        <v>7433.049090909091</v>
      </c>
    </row>
    <row r="78" spans="10:18" ht="12.75">
      <c r="J78" s="35">
        <v>757</v>
      </c>
      <c r="K78" s="36" t="s">
        <v>119</v>
      </c>
      <c r="L78" s="37">
        <v>16255.92</v>
      </c>
      <c r="M78" s="37">
        <v>4</v>
      </c>
      <c r="N78" s="37">
        <v>0</v>
      </c>
      <c r="O78" s="15">
        <f t="shared" si="5"/>
        <v>12515.315170145303</v>
      </c>
      <c r="P78" s="15">
        <f t="shared" si="6"/>
        <v>50061.26068058121</v>
      </c>
      <c r="Q78" s="15">
        <f t="shared" si="4"/>
        <v>65023.68</v>
      </c>
      <c r="R78" s="15">
        <f t="shared" si="7"/>
        <v>16255.92</v>
      </c>
    </row>
    <row r="79" spans="10:18" ht="12.75">
      <c r="J79" s="35">
        <v>763</v>
      </c>
      <c r="K79" s="36" t="s">
        <v>119</v>
      </c>
      <c r="L79" s="37">
        <v>15360.79</v>
      </c>
      <c r="M79" s="37">
        <v>3</v>
      </c>
      <c r="N79" s="37">
        <v>0</v>
      </c>
      <c r="O79" s="15">
        <f t="shared" si="5"/>
        <v>12515.315170145303</v>
      </c>
      <c r="P79" s="15">
        <f t="shared" si="6"/>
        <v>37545.94551043591</v>
      </c>
      <c r="Q79" s="15">
        <f t="shared" si="4"/>
        <v>46082.37</v>
      </c>
      <c r="R79" s="15">
        <f t="shared" si="7"/>
        <v>15360.79</v>
      </c>
    </row>
    <row r="80" spans="10:18" ht="12.75">
      <c r="J80" s="35">
        <v>795</v>
      </c>
      <c r="K80" s="36" t="s">
        <v>119</v>
      </c>
      <c r="L80" s="37">
        <v>8360.58027027027</v>
      </c>
      <c r="M80" s="37">
        <v>27</v>
      </c>
      <c r="N80" s="37">
        <v>2</v>
      </c>
      <c r="O80" s="15">
        <f t="shared" si="5"/>
        <v>12515.315170145303</v>
      </c>
      <c r="P80" s="15">
        <f t="shared" si="6"/>
        <v>337913.50959392317</v>
      </c>
      <c r="Q80" s="15">
        <f t="shared" si="4"/>
        <v>225735.66729729727</v>
      </c>
      <c r="R80" s="15">
        <f t="shared" si="7"/>
        <v>8360.58027027027</v>
      </c>
    </row>
    <row r="81" spans="10:18" ht="12.75">
      <c r="J81" s="35">
        <v>798</v>
      </c>
      <c r="K81" s="36" t="s">
        <v>119</v>
      </c>
      <c r="L81" s="37">
        <v>11201.1977777778</v>
      </c>
      <c r="M81" s="37">
        <v>7</v>
      </c>
      <c r="N81" s="37">
        <v>4</v>
      </c>
      <c r="O81" s="15">
        <f t="shared" si="5"/>
        <v>12515.315170145303</v>
      </c>
      <c r="P81" s="15">
        <f t="shared" si="6"/>
        <v>87607.20619101712</v>
      </c>
      <c r="Q81" s="15">
        <f t="shared" si="4"/>
        <v>78408.3844444446</v>
      </c>
      <c r="R81" s="15">
        <f t="shared" si="7"/>
        <v>11201.1977777778</v>
      </c>
    </row>
    <row r="82" spans="10:18" ht="12.75">
      <c r="J82" s="35">
        <v>800</v>
      </c>
      <c r="K82" s="36" t="s">
        <v>119</v>
      </c>
      <c r="L82" s="37">
        <v>9560.2076744186</v>
      </c>
      <c r="M82" s="37">
        <v>24</v>
      </c>
      <c r="N82" s="37">
        <v>4</v>
      </c>
      <c r="O82" s="15">
        <f t="shared" si="5"/>
        <v>12515.315170145303</v>
      </c>
      <c r="P82" s="15">
        <f t="shared" si="6"/>
        <v>300367.56408348726</v>
      </c>
      <c r="Q82" s="15">
        <f t="shared" si="4"/>
        <v>229444.9841860464</v>
      </c>
      <c r="R82" s="15">
        <f t="shared" si="7"/>
        <v>9560.2076744186</v>
      </c>
    </row>
    <row r="83" spans="10:18" ht="12.75">
      <c r="J83" s="35">
        <v>812</v>
      </c>
      <c r="K83" s="36" t="s">
        <v>119</v>
      </c>
      <c r="L83" s="37">
        <v>9841.75883720931</v>
      </c>
      <c r="M83" s="37">
        <v>34</v>
      </c>
      <c r="N83" s="37">
        <v>4</v>
      </c>
      <c r="O83" s="15">
        <f t="shared" si="5"/>
        <v>12515.315170145303</v>
      </c>
      <c r="P83" s="15">
        <f t="shared" si="6"/>
        <v>425520.7157849403</v>
      </c>
      <c r="Q83" s="15">
        <f t="shared" si="4"/>
        <v>334619.80046511657</v>
      </c>
      <c r="R83" s="15">
        <f t="shared" si="7"/>
        <v>9841.75883720931</v>
      </c>
    </row>
    <row r="84" spans="10:18" ht="12.75">
      <c r="J84" s="35">
        <v>828</v>
      </c>
      <c r="K84" s="36" t="s">
        <v>119</v>
      </c>
      <c r="L84" s="37">
        <v>12137.096</v>
      </c>
      <c r="M84" s="37">
        <v>3</v>
      </c>
      <c r="N84" s="37">
        <v>1</v>
      </c>
      <c r="O84" s="15">
        <f t="shared" si="5"/>
        <v>12515.315170145303</v>
      </c>
      <c r="P84" s="15">
        <f t="shared" si="6"/>
        <v>37545.94551043591</v>
      </c>
      <c r="Q84" s="15">
        <f t="shared" si="4"/>
        <v>36411.288</v>
      </c>
      <c r="R84" s="15">
        <f t="shared" si="7"/>
        <v>12137.096</v>
      </c>
    </row>
    <row r="85" spans="10:18" ht="12.75">
      <c r="J85" s="35">
        <v>831</v>
      </c>
      <c r="K85" s="36" t="s">
        <v>119</v>
      </c>
      <c r="L85" s="37">
        <v>7363.12821428571</v>
      </c>
      <c r="M85" s="37">
        <v>27</v>
      </c>
      <c r="N85" s="37">
        <v>0</v>
      </c>
      <c r="O85" s="15">
        <f t="shared" si="5"/>
        <v>12515.315170145303</v>
      </c>
      <c r="P85" s="15">
        <f t="shared" si="6"/>
        <v>337913.50959392317</v>
      </c>
      <c r="Q85" s="15">
        <f t="shared" si="4"/>
        <v>198804.46178571417</v>
      </c>
      <c r="R85" s="15">
        <f t="shared" si="7"/>
        <v>7363.12821428571</v>
      </c>
    </row>
    <row r="86" spans="10:18" ht="12.75">
      <c r="J86" s="35">
        <v>869</v>
      </c>
      <c r="K86" s="36" t="s">
        <v>119</v>
      </c>
      <c r="L86" s="37">
        <v>9108.56363636364</v>
      </c>
      <c r="M86" s="37">
        <v>4</v>
      </c>
      <c r="N86" s="37">
        <v>0</v>
      </c>
      <c r="O86" s="15">
        <f t="shared" si="5"/>
        <v>12515.315170145303</v>
      </c>
      <c r="P86" s="15">
        <f t="shared" si="6"/>
        <v>50061.26068058121</v>
      </c>
      <c r="Q86" s="15">
        <f t="shared" si="4"/>
        <v>36434.25454545456</v>
      </c>
      <c r="R86" s="15">
        <f t="shared" si="7"/>
        <v>9108.56363636364</v>
      </c>
    </row>
    <row r="87" spans="10:18" ht="12.75">
      <c r="J87" s="35">
        <v>872</v>
      </c>
      <c r="K87" s="36" t="s">
        <v>119</v>
      </c>
      <c r="L87" s="37">
        <v>13986.8249056604</v>
      </c>
      <c r="M87" s="37">
        <v>38</v>
      </c>
      <c r="N87" s="37">
        <v>4</v>
      </c>
      <c r="O87" s="15">
        <f t="shared" si="5"/>
        <v>12515.315170145303</v>
      </c>
      <c r="P87" s="15">
        <f t="shared" si="6"/>
        <v>475581.9764655215</v>
      </c>
      <c r="Q87" s="15">
        <f t="shared" si="4"/>
        <v>531499.3464150951</v>
      </c>
      <c r="R87" s="15">
        <f t="shared" si="7"/>
        <v>13986.824905660398</v>
      </c>
    </row>
    <row r="88" spans="10:18" ht="12.75">
      <c r="J88" s="35">
        <v>878</v>
      </c>
      <c r="K88" s="36" t="s">
        <v>119</v>
      </c>
      <c r="L88" s="37">
        <v>12546.0802469136</v>
      </c>
      <c r="M88" s="37">
        <v>30</v>
      </c>
      <c r="N88" s="37">
        <v>0</v>
      </c>
      <c r="O88" s="15">
        <f t="shared" si="5"/>
        <v>12515.315170145303</v>
      </c>
      <c r="P88" s="15">
        <f t="shared" si="6"/>
        <v>375459.4551043591</v>
      </c>
      <c r="Q88" s="15">
        <f t="shared" si="4"/>
        <v>376382.407407408</v>
      </c>
      <c r="R88" s="15">
        <f t="shared" si="7"/>
        <v>12546.0802469136</v>
      </c>
    </row>
    <row r="89" spans="10:18" ht="12.75">
      <c r="J89" s="35">
        <v>880</v>
      </c>
      <c r="K89" s="36" t="s">
        <v>119</v>
      </c>
      <c r="L89" s="37">
        <v>8355.33310231023</v>
      </c>
      <c r="M89" s="37">
        <v>2</v>
      </c>
      <c r="N89" s="37">
        <v>0</v>
      </c>
      <c r="O89" s="15">
        <f t="shared" si="5"/>
        <v>12515.315170145303</v>
      </c>
      <c r="P89" s="15">
        <f t="shared" si="6"/>
        <v>25030.630340290605</v>
      </c>
      <c r="Q89" s="15">
        <f t="shared" si="4"/>
        <v>16710.66620462046</v>
      </c>
      <c r="R89" s="15">
        <f t="shared" si="7"/>
        <v>8355.33310231023</v>
      </c>
    </row>
    <row r="90" spans="10:18" ht="12.75">
      <c r="J90" s="35">
        <v>888</v>
      </c>
      <c r="K90" s="36" t="s">
        <v>119</v>
      </c>
      <c r="L90" s="37">
        <v>13516.2272727273</v>
      </c>
      <c r="M90" s="37">
        <v>22</v>
      </c>
      <c r="N90" s="37">
        <v>5</v>
      </c>
      <c r="O90" s="15">
        <f t="shared" si="5"/>
        <v>12515.315170145303</v>
      </c>
      <c r="P90" s="15">
        <f t="shared" si="6"/>
        <v>275336.93374319666</v>
      </c>
      <c r="Q90" s="15">
        <f t="shared" si="4"/>
        <v>297357.0000000006</v>
      </c>
      <c r="R90" s="15">
        <f t="shared" si="7"/>
        <v>13516.2272727273</v>
      </c>
    </row>
    <row r="91" spans="10:18" ht="12.75">
      <c r="J91" s="35">
        <v>900</v>
      </c>
      <c r="K91" s="36" t="s">
        <v>119</v>
      </c>
      <c r="L91" s="37">
        <v>14807.0418032787</v>
      </c>
      <c r="M91" s="37">
        <v>25</v>
      </c>
      <c r="N91" s="37">
        <v>8</v>
      </c>
      <c r="O91" s="15">
        <f t="shared" si="5"/>
        <v>12515.315170145303</v>
      </c>
      <c r="P91" s="15">
        <f t="shared" si="6"/>
        <v>312882.87925363256</v>
      </c>
      <c r="Q91" s="15">
        <f t="shared" si="4"/>
        <v>370176.0450819675</v>
      </c>
      <c r="R91" s="15">
        <f t="shared" si="7"/>
        <v>14807.0418032787</v>
      </c>
    </row>
    <row r="92" spans="10:18" ht="12.75">
      <c r="J92" s="35">
        <v>904</v>
      </c>
      <c r="K92" s="36" t="s">
        <v>119</v>
      </c>
      <c r="L92" s="37">
        <v>6448.53153846154</v>
      </c>
      <c r="M92" s="37">
        <v>14</v>
      </c>
      <c r="N92" s="37">
        <v>0</v>
      </c>
      <c r="O92" s="15">
        <f t="shared" si="5"/>
        <v>12515.315170145303</v>
      </c>
      <c r="P92" s="15">
        <f t="shared" si="6"/>
        <v>175214.41238203424</v>
      </c>
      <c r="Q92" s="15">
        <f t="shared" si="4"/>
        <v>90279.44153846156</v>
      </c>
      <c r="R92" s="15">
        <f t="shared" si="7"/>
        <v>6448.53153846154</v>
      </c>
    </row>
    <row r="93" spans="10:18" ht="12.75">
      <c r="J93" s="35">
        <v>913</v>
      </c>
      <c r="K93" s="36" t="s">
        <v>119</v>
      </c>
      <c r="L93" s="37">
        <v>7021.88111111111</v>
      </c>
      <c r="M93" s="37">
        <v>10</v>
      </c>
      <c r="N93" s="37">
        <v>0</v>
      </c>
      <c r="O93" s="15">
        <f t="shared" si="5"/>
        <v>12515.315170145303</v>
      </c>
      <c r="P93" s="15">
        <f t="shared" si="6"/>
        <v>125153.15170145303</v>
      </c>
      <c r="Q93" s="15">
        <f t="shared" si="4"/>
        <v>70218.8111111111</v>
      </c>
      <c r="R93" s="15">
        <f t="shared" si="7"/>
        <v>7021.881111111111</v>
      </c>
    </row>
    <row r="94" spans="10:18" ht="12.75">
      <c r="J94" s="35">
        <v>934</v>
      </c>
      <c r="K94" s="36" t="s">
        <v>119</v>
      </c>
      <c r="L94" s="37">
        <v>9257.1</v>
      </c>
      <c r="M94" s="37">
        <v>12</v>
      </c>
      <c r="N94" s="37">
        <v>0</v>
      </c>
      <c r="O94" s="15">
        <f t="shared" si="5"/>
        <v>12515.315170145303</v>
      </c>
      <c r="P94" s="15">
        <f t="shared" si="6"/>
        <v>150183.78204174363</v>
      </c>
      <c r="Q94" s="15">
        <f t="shared" si="4"/>
        <v>111085.20000000001</v>
      </c>
      <c r="R94" s="15">
        <f t="shared" si="7"/>
        <v>9257.1</v>
      </c>
    </row>
    <row r="95" spans="10:18" ht="12.75">
      <c r="J95" s="35">
        <v>942</v>
      </c>
      <c r="K95" s="36" t="s">
        <v>119</v>
      </c>
      <c r="L95" s="37">
        <v>9953.16624999999</v>
      </c>
      <c r="M95" s="37">
        <v>18</v>
      </c>
      <c r="N95" s="37">
        <v>0</v>
      </c>
      <c r="O95" s="15">
        <f t="shared" si="5"/>
        <v>12515.315170145303</v>
      </c>
      <c r="P95" s="15">
        <f t="shared" si="6"/>
        <v>225275.67306261545</v>
      </c>
      <c r="Q95" s="15">
        <f t="shared" si="4"/>
        <v>179156.99249999982</v>
      </c>
      <c r="R95" s="15">
        <f t="shared" si="7"/>
        <v>9953.16624999999</v>
      </c>
    </row>
    <row r="96" spans="10:18" ht="12.75">
      <c r="J96" s="35">
        <v>944</v>
      </c>
      <c r="K96" s="36" t="s">
        <v>119</v>
      </c>
      <c r="L96" s="37">
        <v>5321.11416666667</v>
      </c>
      <c r="M96" s="37">
        <v>34</v>
      </c>
      <c r="N96" s="37">
        <v>2</v>
      </c>
      <c r="O96" s="15">
        <f t="shared" si="5"/>
        <v>12515.315170145303</v>
      </c>
      <c r="P96" s="15">
        <f t="shared" si="6"/>
        <v>425520.7157849403</v>
      </c>
      <c r="Q96" s="15">
        <f t="shared" si="4"/>
        <v>180917.88166666677</v>
      </c>
      <c r="R96" s="15">
        <f t="shared" si="7"/>
        <v>5321.11416666667</v>
      </c>
    </row>
    <row r="97" spans="10:18" ht="12.75">
      <c r="J97" s="35">
        <v>945</v>
      </c>
      <c r="K97" s="36" t="s">
        <v>119</v>
      </c>
      <c r="L97" s="37">
        <v>8595.125</v>
      </c>
      <c r="M97" s="37">
        <v>18</v>
      </c>
      <c r="N97" s="37">
        <v>4</v>
      </c>
      <c r="O97" s="15">
        <f t="shared" si="5"/>
        <v>12515.315170145303</v>
      </c>
      <c r="P97" s="15">
        <f t="shared" si="6"/>
        <v>225275.67306261545</v>
      </c>
      <c r="Q97" s="15">
        <f t="shared" si="4"/>
        <v>154712.25</v>
      </c>
      <c r="R97" s="15">
        <f t="shared" si="7"/>
        <v>8595.125</v>
      </c>
    </row>
    <row r="98" spans="10:18" ht="12.75">
      <c r="J98" s="35">
        <v>947</v>
      </c>
      <c r="K98" s="36" t="s">
        <v>119</v>
      </c>
      <c r="L98" s="37">
        <v>4981.68918367347</v>
      </c>
      <c r="M98" s="37">
        <v>40</v>
      </c>
      <c r="N98" s="37">
        <v>6</v>
      </c>
      <c r="O98" s="15">
        <f t="shared" si="5"/>
        <v>12515.315170145303</v>
      </c>
      <c r="P98" s="15">
        <f t="shared" si="6"/>
        <v>500612.6068058121</v>
      </c>
      <c r="Q98" s="15">
        <f t="shared" si="4"/>
        <v>199267.56734693883</v>
      </c>
      <c r="R98" s="15">
        <f t="shared" si="7"/>
        <v>4981.68918367347</v>
      </c>
    </row>
    <row r="99" spans="10:18" ht="12.75">
      <c r="J99" s="35">
        <v>948</v>
      </c>
      <c r="K99" s="36" t="s">
        <v>119</v>
      </c>
      <c r="L99" s="37">
        <v>4980.7184</v>
      </c>
      <c r="M99" s="37">
        <v>49</v>
      </c>
      <c r="N99" s="37">
        <v>8</v>
      </c>
      <c r="O99" s="15">
        <f t="shared" si="5"/>
        <v>12515.315170145303</v>
      </c>
      <c r="P99" s="15">
        <f t="shared" si="6"/>
        <v>613250.4433371199</v>
      </c>
      <c r="Q99" s="15">
        <f t="shared" si="4"/>
        <v>244055.2016</v>
      </c>
      <c r="R99" s="15">
        <f t="shared" si="7"/>
        <v>4980.7184</v>
      </c>
    </row>
    <row r="100" spans="10:18" ht="12.75">
      <c r="J100" s="35">
        <v>949</v>
      </c>
      <c r="K100" s="36" t="s">
        <v>119</v>
      </c>
      <c r="L100" s="37">
        <v>15154.582</v>
      </c>
      <c r="M100" s="37">
        <v>4</v>
      </c>
      <c r="N100" s="37">
        <v>0</v>
      </c>
      <c r="O100" s="15">
        <f t="shared" si="5"/>
        <v>12515.315170145303</v>
      </c>
      <c r="P100" s="15">
        <f t="shared" si="6"/>
        <v>50061.26068058121</v>
      </c>
      <c r="Q100" s="15">
        <f t="shared" si="4"/>
        <v>60618.328</v>
      </c>
      <c r="R100" s="15">
        <f t="shared" si="7"/>
        <v>15154.582</v>
      </c>
    </row>
    <row r="101" spans="10:18" ht="12.75">
      <c r="J101" s="35">
        <v>984</v>
      </c>
      <c r="K101" s="36" t="s">
        <v>119</v>
      </c>
      <c r="L101" s="37">
        <v>9881.83166666667</v>
      </c>
      <c r="M101" s="37">
        <v>10</v>
      </c>
      <c r="N101" s="37">
        <v>4</v>
      </c>
      <c r="O101" s="15">
        <f t="shared" si="5"/>
        <v>12515.315170145303</v>
      </c>
      <c r="P101" s="15">
        <f t="shared" si="6"/>
        <v>125153.15170145303</v>
      </c>
      <c r="Q101" s="15">
        <f t="shared" si="4"/>
        <v>98818.31666666671</v>
      </c>
      <c r="R101" s="15">
        <f t="shared" si="7"/>
        <v>9881.83166666667</v>
      </c>
    </row>
    <row r="102" spans="10:18" ht="12.75">
      <c r="J102" s="35">
        <v>1005</v>
      </c>
      <c r="K102" s="36" t="s">
        <v>119</v>
      </c>
      <c r="L102" s="37">
        <v>11739.8462962963</v>
      </c>
      <c r="M102" s="37">
        <v>47</v>
      </c>
      <c r="N102" s="37">
        <v>5</v>
      </c>
      <c r="O102" s="15">
        <f t="shared" si="5"/>
        <v>12515.315170145303</v>
      </c>
      <c r="P102" s="15">
        <f t="shared" si="6"/>
        <v>588219.8129968292</v>
      </c>
      <c r="Q102" s="15">
        <f t="shared" si="4"/>
        <v>551772.7759259262</v>
      </c>
      <c r="R102" s="15">
        <f t="shared" si="7"/>
        <v>11739.846296296302</v>
      </c>
    </row>
    <row r="103" spans="10:18" ht="12.75">
      <c r="J103" s="35">
        <v>1027</v>
      </c>
      <c r="K103" s="36" t="s">
        <v>119</v>
      </c>
      <c r="L103" s="37">
        <v>18776.9591549296</v>
      </c>
      <c r="M103" s="37">
        <v>33</v>
      </c>
      <c r="N103" s="37">
        <v>5</v>
      </c>
      <c r="O103" s="15">
        <f t="shared" si="5"/>
        <v>12515.315170145303</v>
      </c>
      <c r="P103" s="15">
        <f t="shared" si="6"/>
        <v>413005.400614795</v>
      </c>
      <c r="Q103" s="15">
        <f t="shared" si="4"/>
        <v>619639.6521126768</v>
      </c>
      <c r="R103" s="15">
        <f t="shared" si="7"/>
        <v>18776.9591549296</v>
      </c>
    </row>
    <row r="104" spans="10:18" ht="12.75">
      <c r="J104" s="35">
        <v>1029</v>
      </c>
      <c r="K104" s="36" t="s">
        <v>119</v>
      </c>
      <c r="L104" s="37">
        <v>9867.09745098039</v>
      </c>
      <c r="M104" s="37">
        <v>37</v>
      </c>
      <c r="N104" s="37">
        <v>7</v>
      </c>
      <c r="O104" s="15">
        <f t="shared" si="5"/>
        <v>12515.315170145303</v>
      </c>
      <c r="P104" s="15">
        <f t="shared" si="6"/>
        <v>463066.6612953762</v>
      </c>
      <c r="Q104" s="15">
        <f t="shared" si="4"/>
        <v>365082.6056862744</v>
      </c>
      <c r="R104" s="15">
        <f t="shared" si="7"/>
        <v>9867.09745098039</v>
      </c>
    </row>
    <row r="105" spans="10:18" ht="12.75">
      <c r="J105" s="35">
        <v>1032</v>
      </c>
      <c r="K105" s="36" t="s">
        <v>119</v>
      </c>
      <c r="L105" s="37">
        <v>9031.08625</v>
      </c>
      <c r="M105" s="37">
        <v>7</v>
      </c>
      <c r="N105" s="37">
        <v>1</v>
      </c>
      <c r="O105" s="15">
        <f t="shared" si="5"/>
        <v>12515.315170145303</v>
      </c>
      <c r="P105" s="15">
        <f t="shared" si="6"/>
        <v>87607.20619101712</v>
      </c>
      <c r="Q105" s="15">
        <f t="shared" si="4"/>
        <v>63217.60375</v>
      </c>
      <c r="R105" s="15">
        <f t="shared" si="7"/>
        <v>9031.08625</v>
      </c>
    </row>
    <row r="106" spans="10:18" ht="12.75">
      <c r="J106" s="35">
        <v>1051</v>
      </c>
      <c r="K106" s="36" t="s">
        <v>119</v>
      </c>
      <c r="L106" s="37">
        <v>7630.97147058824</v>
      </c>
      <c r="M106" s="37">
        <v>38</v>
      </c>
      <c r="N106" s="37">
        <v>0</v>
      </c>
      <c r="O106" s="15">
        <f t="shared" si="5"/>
        <v>12515.315170145303</v>
      </c>
      <c r="P106" s="15">
        <f t="shared" si="6"/>
        <v>475581.9764655215</v>
      </c>
      <c r="Q106" s="15">
        <f t="shared" si="4"/>
        <v>289976.9158823531</v>
      </c>
      <c r="R106" s="15">
        <f t="shared" si="7"/>
        <v>7630.971470588239</v>
      </c>
    </row>
    <row r="107" spans="10:18" ht="12.75">
      <c r="J107" s="35">
        <v>1061</v>
      </c>
      <c r="K107" s="36" t="s">
        <v>119</v>
      </c>
      <c r="L107" s="37">
        <v>23473.3228888889</v>
      </c>
      <c r="M107" s="37">
        <v>27</v>
      </c>
      <c r="N107" s="37">
        <v>6</v>
      </c>
      <c r="O107" s="15">
        <f t="shared" si="5"/>
        <v>12515.315170145303</v>
      </c>
      <c r="P107" s="15">
        <f t="shared" si="6"/>
        <v>337913.50959392317</v>
      </c>
      <c r="Q107" s="15">
        <f t="shared" si="4"/>
        <v>633779.7180000002</v>
      </c>
      <c r="R107" s="15">
        <f t="shared" si="7"/>
        <v>23473.3228888889</v>
      </c>
    </row>
    <row r="108" spans="10:18" ht="12.75">
      <c r="J108" s="35">
        <v>1106</v>
      </c>
      <c r="K108" s="36" t="s">
        <v>119</v>
      </c>
      <c r="L108" s="37">
        <v>5646.038</v>
      </c>
      <c r="M108" s="37">
        <v>12</v>
      </c>
      <c r="N108" s="37">
        <v>0</v>
      </c>
      <c r="O108" s="15">
        <f t="shared" si="5"/>
        <v>12515.315170145303</v>
      </c>
      <c r="P108" s="15">
        <f t="shared" si="6"/>
        <v>150183.78204174363</v>
      </c>
      <c r="Q108" s="15">
        <f t="shared" si="4"/>
        <v>67752.45599999999</v>
      </c>
      <c r="R108" s="15">
        <f t="shared" si="7"/>
        <v>5646.038</v>
      </c>
    </row>
    <row r="109" spans="10:18" ht="12.75">
      <c r="J109" s="35">
        <v>1107</v>
      </c>
      <c r="K109" s="36" t="s">
        <v>119</v>
      </c>
      <c r="L109" s="37">
        <v>7539.871875</v>
      </c>
      <c r="M109" s="37">
        <v>17</v>
      </c>
      <c r="N109" s="37">
        <v>0</v>
      </c>
      <c r="O109" s="15">
        <f t="shared" si="5"/>
        <v>12515.315170145303</v>
      </c>
      <c r="P109" s="15">
        <f t="shared" si="6"/>
        <v>212760.35789247014</v>
      </c>
      <c r="Q109" s="15">
        <f t="shared" si="4"/>
        <v>128177.821875</v>
      </c>
      <c r="R109" s="15">
        <f t="shared" si="7"/>
        <v>7539.871875</v>
      </c>
    </row>
    <row r="110" spans="10:18" ht="12.75">
      <c r="J110" s="35">
        <v>1113</v>
      </c>
      <c r="K110" s="36" t="s">
        <v>119</v>
      </c>
      <c r="L110" s="37">
        <v>7607.07703125</v>
      </c>
      <c r="M110" s="37">
        <v>42</v>
      </c>
      <c r="N110" s="37">
        <v>1</v>
      </c>
      <c r="O110" s="15">
        <f t="shared" si="5"/>
        <v>12515.315170145303</v>
      </c>
      <c r="P110" s="15">
        <f t="shared" si="6"/>
        <v>525643.2371461027</v>
      </c>
      <c r="Q110" s="15">
        <f t="shared" si="4"/>
        <v>319497.2353125</v>
      </c>
      <c r="R110" s="15">
        <f t="shared" si="7"/>
        <v>7607.07703125</v>
      </c>
    </row>
    <row r="111" spans="10:18" ht="12.75">
      <c r="J111" s="35">
        <v>1115</v>
      </c>
      <c r="K111" s="36" t="s">
        <v>119</v>
      </c>
      <c r="L111" s="37">
        <v>8700.59875</v>
      </c>
      <c r="M111" s="37">
        <v>2</v>
      </c>
      <c r="N111" s="37">
        <v>1</v>
      </c>
      <c r="O111" s="15">
        <f t="shared" si="5"/>
        <v>12515.315170145303</v>
      </c>
      <c r="P111" s="15">
        <f t="shared" si="6"/>
        <v>25030.630340290605</v>
      </c>
      <c r="Q111" s="15">
        <f t="shared" si="4"/>
        <v>17401.1975</v>
      </c>
      <c r="R111" s="15">
        <f t="shared" si="7"/>
        <v>8700.59875</v>
      </c>
    </row>
    <row r="112" spans="10:18" ht="12.75">
      <c r="J112" s="35">
        <v>1116</v>
      </c>
      <c r="K112" s="36" t="s">
        <v>119</v>
      </c>
      <c r="L112" s="37">
        <v>15430.6914285714</v>
      </c>
      <c r="M112" s="37">
        <v>7</v>
      </c>
      <c r="N112" s="37">
        <v>1</v>
      </c>
      <c r="O112" s="15">
        <f t="shared" si="5"/>
        <v>12515.315170145303</v>
      </c>
      <c r="P112" s="15">
        <f t="shared" si="6"/>
        <v>87607.20619101712</v>
      </c>
      <c r="Q112" s="15">
        <f t="shared" si="4"/>
        <v>108014.8399999998</v>
      </c>
      <c r="R112" s="15">
        <f t="shared" si="7"/>
        <v>15430.6914285714</v>
      </c>
    </row>
    <row r="113" spans="10:18" ht="12.75">
      <c r="J113" s="35">
        <v>1121</v>
      </c>
      <c r="K113" s="36" t="s">
        <v>119</v>
      </c>
      <c r="L113" s="37">
        <v>16288.6175</v>
      </c>
      <c r="M113" s="37">
        <v>5</v>
      </c>
      <c r="N113" s="37">
        <v>0</v>
      </c>
      <c r="O113" s="15">
        <f t="shared" si="5"/>
        <v>12515.315170145303</v>
      </c>
      <c r="P113" s="15">
        <f t="shared" si="6"/>
        <v>62576.57585072651</v>
      </c>
      <c r="Q113" s="15">
        <f t="shared" si="4"/>
        <v>81443.0875</v>
      </c>
      <c r="R113" s="15">
        <f t="shared" si="7"/>
        <v>16288.617499999998</v>
      </c>
    </row>
    <row r="114" spans="10:18" ht="12.75">
      <c r="J114" s="35">
        <v>1122</v>
      </c>
      <c r="K114" s="36" t="s">
        <v>119</v>
      </c>
      <c r="L114" s="37">
        <v>7723.83591836735</v>
      </c>
      <c r="M114" s="37">
        <v>31</v>
      </c>
      <c r="N114" s="37">
        <v>0</v>
      </c>
      <c r="O114" s="15">
        <f t="shared" si="5"/>
        <v>12515.315170145303</v>
      </c>
      <c r="P114" s="15">
        <f t="shared" si="6"/>
        <v>387974.7702745044</v>
      </c>
      <c r="Q114" s="15">
        <f t="shared" si="4"/>
        <v>239438.91346938786</v>
      </c>
      <c r="R114" s="15">
        <f t="shared" si="7"/>
        <v>7723.83591836735</v>
      </c>
    </row>
    <row r="115" spans="10:18" ht="12.75">
      <c r="J115" s="35">
        <v>1133</v>
      </c>
      <c r="K115" s="36" t="s">
        <v>119</v>
      </c>
      <c r="L115" s="37">
        <v>9518.74466666667</v>
      </c>
      <c r="M115" s="37">
        <v>8</v>
      </c>
      <c r="N115" s="37">
        <v>1</v>
      </c>
      <c r="O115" s="15">
        <f t="shared" si="5"/>
        <v>12515.315170145303</v>
      </c>
      <c r="P115" s="15">
        <f t="shared" si="6"/>
        <v>100122.52136116242</v>
      </c>
      <c r="Q115" s="15">
        <f t="shared" si="4"/>
        <v>76149.95733333335</v>
      </c>
      <c r="R115" s="15">
        <f t="shared" si="7"/>
        <v>9518.74466666667</v>
      </c>
    </row>
    <row r="116" spans="10:18" ht="12.75">
      <c r="J116" s="35">
        <v>1137</v>
      </c>
      <c r="K116" s="36" t="s">
        <v>119</v>
      </c>
      <c r="L116" s="37">
        <v>7661.47666666667</v>
      </c>
      <c r="M116" s="37">
        <v>19</v>
      </c>
      <c r="N116" s="37">
        <v>3</v>
      </c>
      <c r="O116" s="15">
        <f t="shared" si="5"/>
        <v>12515.315170145303</v>
      </c>
      <c r="P116" s="15">
        <f t="shared" si="6"/>
        <v>237790.98823276075</v>
      </c>
      <c r="Q116" s="15">
        <f t="shared" si="4"/>
        <v>145568.05666666673</v>
      </c>
      <c r="R116" s="15">
        <f t="shared" si="7"/>
        <v>7661.47666666667</v>
      </c>
    </row>
    <row r="117" spans="10:18" ht="12.75">
      <c r="J117" s="35">
        <v>1140</v>
      </c>
      <c r="K117" s="36" t="s">
        <v>119</v>
      </c>
      <c r="L117" s="37">
        <v>9057.5525</v>
      </c>
      <c r="M117" s="37">
        <v>9</v>
      </c>
      <c r="N117" s="37">
        <v>0</v>
      </c>
      <c r="O117" s="15">
        <f t="shared" si="5"/>
        <v>12515.315170145303</v>
      </c>
      <c r="P117" s="15">
        <f t="shared" si="6"/>
        <v>112637.83653130772</v>
      </c>
      <c r="Q117" s="15">
        <f t="shared" si="4"/>
        <v>81517.9725</v>
      </c>
      <c r="R117" s="15">
        <f t="shared" si="7"/>
        <v>9057.5525</v>
      </c>
    </row>
    <row r="118" spans="10:18" ht="12.75">
      <c r="J118" s="35">
        <v>1153</v>
      </c>
      <c r="K118" s="36" t="s">
        <v>119</v>
      </c>
      <c r="L118" s="37">
        <v>6371.77676470588</v>
      </c>
      <c r="M118" s="37">
        <v>28</v>
      </c>
      <c r="N118" s="37">
        <v>1</v>
      </c>
      <c r="O118" s="15">
        <f t="shared" si="5"/>
        <v>12515.315170145303</v>
      </c>
      <c r="P118" s="15">
        <f t="shared" si="6"/>
        <v>350428.8247640685</v>
      </c>
      <c r="Q118" s="15">
        <f t="shared" si="4"/>
        <v>178409.74941176464</v>
      </c>
      <c r="R118" s="15">
        <f t="shared" si="7"/>
        <v>6371.77676470588</v>
      </c>
    </row>
    <row r="119" spans="10:18" ht="12.75">
      <c r="J119" s="35">
        <v>1160</v>
      </c>
      <c r="K119" s="36" t="s">
        <v>119</v>
      </c>
      <c r="L119" s="37">
        <v>5182.19533333333</v>
      </c>
      <c r="M119" s="37">
        <v>40</v>
      </c>
      <c r="N119" s="37">
        <v>1</v>
      </c>
      <c r="O119" s="15">
        <f t="shared" si="5"/>
        <v>12515.315170145303</v>
      </c>
      <c r="P119" s="15">
        <f t="shared" si="6"/>
        <v>500612.6068058121</v>
      </c>
      <c r="Q119" s="15">
        <f t="shared" si="4"/>
        <v>207287.8133333332</v>
      </c>
      <c r="R119" s="15">
        <f t="shared" si="7"/>
        <v>5182.19533333333</v>
      </c>
    </row>
    <row r="120" spans="10:18" ht="12.75">
      <c r="J120" s="35">
        <v>1163</v>
      </c>
      <c r="K120" s="36" t="s">
        <v>119</v>
      </c>
      <c r="L120" s="37">
        <v>3890.9546875</v>
      </c>
      <c r="M120" s="37">
        <v>34</v>
      </c>
      <c r="N120" s="37">
        <v>4</v>
      </c>
      <c r="O120" s="15">
        <f t="shared" si="5"/>
        <v>12515.315170145303</v>
      </c>
      <c r="P120" s="15">
        <f t="shared" si="6"/>
        <v>425520.7157849403</v>
      </c>
      <c r="Q120" s="15">
        <f t="shared" si="4"/>
        <v>132292.459375</v>
      </c>
      <c r="R120" s="15">
        <f t="shared" si="7"/>
        <v>3890.9546875</v>
      </c>
    </row>
    <row r="121" spans="10:18" ht="12.75">
      <c r="J121" s="35">
        <v>1165</v>
      </c>
      <c r="K121" s="36" t="s">
        <v>119</v>
      </c>
      <c r="L121" s="37">
        <v>5155.05285714286</v>
      </c>
      <c r="M121" s="37">
        <v>48</v>
      </c>
      <c r="N121" s="37">
        <v>2</v>
      </c>
      <c r="O121" s="15">
        <f t="shared" si="5"/>
        <v>12515.315170145303</v>
      </c>
      <c r="P121" s="15">
        <f t="shared" si="6"/>
        <v>600735.1281669745</v>
      </c>
      <c r="Q121" s="15">
        <f t="shared" si="4"/>
        <v>247442.5371428573</v>
      </c>
      <c r="R121" s="15">
        <f t="shared" si="7"/>
        <v>5155.05285714286</v>
      </c>
    </row>
    <row r="122" spans="10:18" ht="12.75">
      <c r="J122" s="35">
        <v>1183</v>
      </c>
      <c r="K122" s="36" t="s">
        <v>119</v>
      </c>
      <c r="L122" s="37">
        <v>7547.73375</v>
      </c>
      <c r="M122" s="37">
        <v>19</v>
      </c>
      <c r="N122" s="37">
        <v>2</v>
      </c>
      <c r="O122" s="15">
        <f t="shared" si="5"/>
        <v>12515.315170145303</v>
      </c>
      <c r="P122" s="15">
        <f t="shared" si="6"/>
        <v>237790.98823276075</v>
      </c>
      <c r="Q122" s="15">
        <f t="shared" si="4"/>
        <v>143406.94125</v>
      </c>
      <c r="R122" s="15">
        <f t="shared" si="7"/>
        <v>7547.73375</v>
      </c>
    </row>
    <row r="123" spans="10:18" ht="12.75">
      <c r="J123" s="35">
        <v>1212</v>
      </c>
      <c r="K123" s="36" t="s">
        <v>119</v>
      </c>
      <c r="L123" s="37">
        <v>7399.35</v>
      </c>
      <c r="M123" s="37">
        <v>48</v>
      </c>
      <c r="N123" s="37">
        <v>3</v>
      </c>
      <c r="O123" s="15">
        <f t="shared" si="5"/>
        <v>12515.315170145303</v>
      </c>
      <c r="P123" s="15">
        <f t="shared" si="6"/>
        <v>600735.1281669745</v>
      </c>
      <c r="Q123" s="15">
        <f t="shared" si="4"/>
        <v>355168.80000000005</v>
      </c>
      <c r="R123" s="15">
        <f t="shared" si="7"/>
        <v>7399.350000000001</v>
      </c>
    </row>
    <row r="124" spans="10:18" ht="12.75">
      <c r="J124" s="35">
        <v>1214</v>
      </c>
      <c r="K124" s="36" t="s">
        <v>119</v>
      </c>
      <c r="L124" s="37">
        <v>15054.07578125</v>
      </c>
      <c r="M124" s="37">
        <v>26</v>
      </c>
      <c r="N124" s="37">
        <v>7</v>
      </c>
      <c r="O124" s="15">
        <f t="shared" si="5"/>
        <v>12515.315170145303</v>
      </c>
      <c r="P124" s="15">
        <f t="shared" si="6"/>
        <v>325398.19442377787</v>
      </c>
      <c r="Q124" s="15">
        <f t="shared" si="4"/>
        <v>391405.97031249997</v>
      </c>
      <c r="R124" s="15">
        <f t="shared" si="7"/>
        <v>15054.075781249998</v>
      </c>
    </row>
    <row r="125" spans="10:18" ht="12.75">
      <c r="J125" s="35">
        <v>1223</v>
      </c>
      <c r="K125" s="36" t="s">
        <v>119</v>
      </c>
      <c r="L125" s="37">
        <v>6347.70382352941</v>
      </c>
      <c r="M125" s="37">
        <v>30</v>
      </c>
      <c r="N125" s="37">
        <v>0</v>
      </c>
      <c r="O125" s="15">
        <f t="shared" si="5"/>
        <v>12515.315170145303</v>
      </c>
      <c r="P125" s="15">
        <f t="shared" si="6"/>
        <v>375459.4551043591</v>
      </c>
      <c r="Q125" s="15">
        <f t="shared" si="4"/>
        <v>190431.1147058823</v>
      </c>
      <c r="R125" s="15">
        <f t="shared" si="7"/>
        <v>6347.70382352941</v>
      </c>
    </row>
    <row r="126" spans="10:18" ht="12.75">
      <c r="J126" s="35">
        <v>1231</v>
      </c>
      <c r="K126" s="36" t="s">
        <v>119</v>
      </c>
      <c r="L126" s="37">
        <v>8766.312</v>
      </c>
      <c r="M126" s="37">
        <v>11</v>
      </c>
      <c r="N126" s="37">
        <v>0</v>
      </c>
      <c r="O126" s="15">
        <f t="shared" si="5"/>
        <v>12515.315170145303</v>
      </c>
      <c r="P126" s="15">
        <f t="shared" si="6"/>
        <v>137668.46687159833</v>
      </c>
      <c r="Q126" s="15">
        <f t="shared" si="4"/>
        <v>96429.432</v>
      </c>
      <c r="R126" s="15">
        <f t="shared" si="7"/>
        <v>8766.312</v>
      </c>
    </row>
    <row r="127" spans="10:18" ht="12.75">
      <c r="J127" s="35">
        <v>1232</v>
      </c>
      <c r="K127" s="36" t="s">
        <v>119</v>
      </c>
      <c r="L127" s="37">
        <v>11277.745</v>
      </c>
      <c r="M127" s="37">
        <v>31</v>
      </c>
      <c r="N127" s="37">
        <v>6</v>
      </c>
      <c r="O127" s="15">
        <f t="shared" si="5"/>
        <v>12515.315170145303</v>
      </c>
      <c r="P127" s="15">
        <f t="shared" si="6"/>
        <v>387974.7702745044</v>
      </c>
      <c r="Q127" s="15">
        <f t="shared" si="4"/>
        <v>349610.09500000003</v>
      </c>
      <c r="R127" s="15">
        <f t="shared" si="7"/>
        <v>11277.745</v>
      </c>
    </row>
    <row r="128" spans="10:18" ht="12.75">
      <c r="J128" s="35">
        <v>1288</v>
      </c>
      <c r="K128" s="36" t="s">
        <v>119</v>
      </c>
      <c r="L128" s="37">
        <v>10924.1413953488</v>
      </c>
      <c r="M128" s="37">
        <v>35</v>
      </c>
      <c r="N128" s="37">
        <v>4</v>
      </c>
      <c r="O128" s="15">
        <f t="shared" si="5"/>
        <v>12515.315170145303</v>
      </c>
      <c r="P128" s="15">
        <f t="shared" si="6"/>
        <v>438036.0309550856</v>
      </c>
      <c r="Q128" s="15">
        <f t="shared" si="4"/>
        <v>382344.94883720804</v>
      </c>
      <c r="R128" s="15">
        <f t="shared" si="7"/>
        <v>10924.1413953488</v>
      </c>
    </row>
    <row r="129" spans="10:18" ht="12.75">
      <c r="J129" s="35">
        <v>1401</v>
      </c>
      <c r="K129" s="36" t="s">
        <v>119</v>
      </c>
      <c r="L129" s="37">
        <v>10918.78</v>
      </c>
      <c r="M129" s="37">
        <v>5</v>
      </c>
      <c r="N129" s="37">
        <v>0</v>
      </c>
      <c r="O129" s="15">
        <f t="shared" si="5"/>
        <v>12515.315170145303</v>
      </c>
      <c r="P129" s="15">
        <f t="shared" si="6"/>
        <v>62576.57585072651</v>
      </c>
      <c r="Q129" s="15">
        <f t="shared" si="4"/>
        <v>54593.9</v>
      </c>
      <c r="R129" s="15">
        <f t="shared" si="7"/>
        <v>10918.78</v>
      </c>
    </row>
    <row r="130" spans="10:18" ht="12.75">
      <c r="J130" s="35">
        <v>1448</v>
      </c>
      <c r="K130" s="36" t="s">
        <v>119</v>
      </c>
      <c r="L130" s="37">
        <v>6486.9185</v>
      </c>
      <c r="M130" s="37">
        <v>18</v>
      </c>
      <c r="N130" s="37">
        <v>2</v>
      </c>
      <c r="O130" s="15">
        <f t="shared" si="5"/>
        <v>12515.315170145303</v>
      </c>
      <c r="P130" s="15">
        <f t="shared" si="6"/>
        <v>225275.67306261545</v>
      </c>
      <c r="Q130" s="15">
        <f aca="true" t="shared" si="8" ref="Q130:Q160">L130*M130</f>
        <v>116764.533</v>
      </c>
      <c r="R130" s="15">
        <f t="shared" si="7"/>
        <v>6486.9185</v>
      </c>
    </row>
    <row r="131" spans="10:18" ht="12.75">
      <c r="J131" s="35">
        <v>1455</v>
      </c>
      <c r="K131" s="36" t="s">
        <v>119</v>
      </c>
      <c r="L131" s="37">
        <v>17706.7866666667</v>
      </c>
      <c r="M131" s="37">
        <v>3</v>
      </c>
      <c r="N131" s="37">
        <v>0</v>
      </c>
      <c r="O131" s="15">
        <f aca="true" t="shared" si="9" ref="O131:O160">+$D$53</f>
        <v>12515.315170145303</v>
      </c>
      <c r="P131" s="15">
        <f aca="true" t="shared" si="10" ref="P131:P160">M131*O131</f>
        <v>37545.94551043591</v>
      </c>
      <c r="Q131" s="15">
        <f t="shared" si="8"/>
        <v>53120.3600000001</v>
      </c>
      <c r="R131" s="15">
        <f aca="true" t="shared" si="11" ref="R131:R160">Q131/M131</f>
        <v>17706.7866666667</v>
      </c>
    </row>
    <row r="132" spans="10:18" ht="12.75">
      <c r="J132" s="35">
        <v>1470</v>
      </c>
      <c r="K132" s="36" t="s">
        <v>119</v>
      </c>
      <c r="L132" s="37">
        <v>7203.83796875</v>
      </c>
      <c r="M132" s="37">
        <v>46</v>
      </c>
      <c r="N132" s="37">
        <v>11</v>
      </c>
      <c r="O132" s="15">
        <f t="shared" si="9"/>
        <v>12515.315170145303</v>
      </c>
      <c r="P132" s="15">
        <f t="shared" si="10"/>
        <v>575704.4978266839</v>
      </c>
      <c r="Q132" s="15">
        <f t="shared" si="8"/>
        <v>331376.5465625</v>
      </c>
      <c r="R132" s="15">
        <f t="shared" si="11"/>
        <v>7203.83796875</v>
      </c>
    </row>
    <row r="133" spans="10:18" ht="12.75">
      <c r="J133" s="35">
        <v>1475</v>
      </c>
      <c r="K133" s="36" t="s">
        <v>119</v>
      </c>
      <c r="L133" s="37">
        <v>9607.33375</v>
      </c>
      <c r="M133" s="37">
        <v>21</v>
      </c>
      <c r="N133" s="37">
        <v>0</v>
      </c>
      <c r="O133" s="15">
        <f t="shared" si="9"/>
        <v>12515.315170145303</v>
      </c>
      <c r="P133" s="15">
        <f t="shared" si="10"/>
        <v>262821.61857305135</v>
      </c>
      <c r="Q133" s="15">
        <f t="shared" si="8"/>
        <v>201754.00875</v>
      </c>
      <c r="R133" s="15">
        <f t="shared" si="11"/>
        <v>9607.33375</v>
      </c>
    </row>
    <row r="134" spans="10:18" ht="12.75">
      <c r="J134" s="35">
        <v>1536</v>
      </c>
      <c r="K134" s="36" t="s">
        <v>119</v>
      </c>
      <c r="L134" s="37">
        <v>9779.46653061224</v>
      </c>
      <c r="M134" s="37">
        <v>28</v>
      </c>
      <c r="N134" s="37">
        <v>0</v>
      </c>
      <c r="O134" s="15">
        <f t="shared" si="9"/>
        <v>12515.315170145303</v>
      </c>
      <c r="P134" s="15">
        <f t="shared" si="10"/>
        <v>350428.8247640685</v>
      </c>
      <c r="Q134" s="15">
        <f t="shared" si="8"/>
        <v>273825.06285714277</v>
      </c>
      <c r="R134" s="15">
        <f t="shared" si="11"/>
        <v>9779.466530612242</v>
      </c>
    </row>
    <row r="135" spans="10:18" ht="12.75">
      <c r="J135" s="35">
        <v>1565</v>
      </c>
      <c r="K135" s="36" t="s">
        <v>119</v>
      </c>
      <c r="L135" s="37">
        <v>12728.636</v>
      </c>
      <c r="M135" s="37">
        <v>9</v>
      </c>
      <c r="N135" s="37">
        <v>3</v>
      </c>
      <c r="O135" s="15">
        <f t="shared" si="9"/>
        <v>12515.315170145303</v>
      </c>
      <c r="P135" s="15">
        <f t="shared" si="10"/>
        <v>112637.83653130772</v>
      </c>
      <c r="Q135" s="15">
        <f t="shared" si="8"/>
        <v>114557.724</v>
      </c>
      <c r="R135" s="15">
        <f t="shared" si="11"/>
        <v>12728.636</v>
      </c>
    </row>
    <row r="136" spans="10:18" ht="12.75">
      <c r="J136" s="35">
        <v>1578</v>
      </c>
      <c r="K136" s="36" t="s">
        <v>119</v>
      </c>
      <c r="L136" s="37">
        <v>6399.38</v>
      </c>
      <c r="M136" s="37">
        <v>10</v>
      </c>
      <c r="N136" s="37">
        <v>1</v>
      </c>
      <c r="O136" s="15">
        <f t="shared" si="9"/>
        <v>12515.315170145303</v>
      </c>
      <c r="P136" s="15">
        <f t="shared" si="10"/>
        <v>125153.15170145303</v>
      </c>
      <c r="Q136" s="15">
        <f t="shared" si="8"/>
        <v>63993.8</v>
      </c>
      <c r="R136" s="15">
        <f t="shared" si="11"/>
        <v>6399.38</v>
      </c>
    </row>
    <row r="137" spans="10:18" ht="12.75">
      <c r="J137" s="35">
        <v>1580</v>
      </c>
      <c r="K137" s="36" t="s">
        <v>119</v>
      </c>
      <c r="L137" s="37">
        <v>4628.356875</v>
      </c>
      <c r="M137" s="37">
        <v>15</v>
      </c>
      <c r="N137" s="37">
        <v>3</v>
      </c>
      <c r="O137" s="15">
        <f t="shared" si="9"/>
        <v>12515.315170145303</v>
      </c>
      <c r="P137" s="15">
        <f t="shared" si="10"/>
        <v>187729.72755217954</v>
      </c>
      <c r="Q137" s="15">
        <f t="shared" si="8"/>
        <v>69425.35312500001</v>
      </c>
      <c r="R137" s="15">
        <f t="shared" si="11"/>
        <v>4628.356875</v>
      </c>
    </row>
    <row r="138" spans="10:18" ht="12.75">
      <c r="J138" s="35">
        <v>1588</v>
      </c>
      <c r="K138" s="36" t="s">
        <v>119</v>
      </c>
      <c r="L138" s="37">
        <v>11229.3421214451</v>
      </c>
      <c r="M138" s="37">
        <v>17</v>
      </c>
      <c r="N138" s="37">
        <v>1</v>
      </c>
      <c r="O138" s="15">
        <f t="shared" si="9"/>
        <v>12515.315170145303</v>
      </c>
      <c r="P138" s="15">
        <f t="shared" si="10"/>
        <v>212760.35789247014</v>
      </c>
      <c r="Q138" s="15">
        <f t="shared" si="8"/>
        <v>190898.8160645667</v>
      </c>
      <c r="R138" s="15">
        <f t="shared" si="11"/>
        <v>11229.3421214451</v>
      </c>
    </row>
    <row r="139" spans="10:18" ht="12.75">
      <c r="J139" s="35">
        <v>1590</v>
      </c>
      <c r="K139" s="36" t="s">
        <v>119</v>
      </c>
      <c r="L139" s="37">
        <v>8355.33310231023</v>
      </c>
      <c r="M139" s="37">
        <v>14</v>
      </c>
      <c r="N139" s="37">
        <v>0</v>
      </c>
      <c r="O139" s="15">
        <f t="shared" si="9"/>
        <v>12515.315170145303</v>
      </c>
      <c r="P139" s="15">
        <f t="shared" si="10"/>
        <v>175214.41238203424</v>
      </c>
      <c r="Q139" s="15">
        <f t="shared" si="8"/>
        <v>116974.66343234321</v>
      </c>
      <c r="R139" s="15">
        <f t="shared" si="11"/>
        <v>8355.33310231023</v>
      </c>
    </row>
    <row r="140" spans="10:18" ht="12.75">
      <c r="J140" s="35">
        <v>1591</v>
      </c>
      <c r="K140" s="36" t="s">
        <v>119</v>
      </c>
      <c r="L140" s="37">
        <v>6003.72636363636</v>
      </c>
      <c r="M140" s="37">
        <v>5</v>
      </c>
      <c r="N140" s="37">
        <v>0</v>
      </c>
      <c r="O140" s="15">
        <f t="shared" si="9"/>
        <v>12515.315170145303</v>
      </c>
      <c r="P140" s="15">
        <f t="shared" si="10"/>
        <v>62576.57585072651</v>
      </c>
      <c r="Q140" s="15">
        <f t="shared" si="8"/>
        <v>30018.6318181818</v>
      </c>
      <c r="R140" s="15">
        <f t="shared" si="11"/>
        <v>6003.72636363636</v>
      </c>
    </row>
    <row r="141" spans="10:18" ht="12.75">
      <c r="J141" s="35">
        <v>1594</v>
      </c>
      <c r="K141" s="36" t="s">
        <v>119</v>
      </c>
      <c r="L141" s="37">
        <v>11229.3421214451</v>
      </c>
      <c r="M141" s="37">
        <v>15</v>
      </c>
      <c r="N141" s="37">
        <v>2</v>
      </c>
      <c r="O141" s="15">
        <f t="shared" si="9"/>
        <v>12515.315170145303</v>
      </c>
      <c r="P141" s="15">
        <f t="shared" si="10"/>
        <v>187729.72755217954</v>
      </c>
      <c r="Q141" s="15">
        <f t="shared" si="8"/>
        <v>168440.13182167648</v>
      </c>
      <c r="R141" s="15">
        <f t="shared" si="11"/>
        <v>11229.3421214451</v>
      </c>
    </row>
    <row r="142" spans="10:18" ht="12.75">
      <c r="J142" s="35">
        <v>1601</v>
      </c>
      <c r="K142" s="36" t="s">
        <v>119</v>
      </c>
      <c r="L142" s="37">
        <v>7715.61641975309</v>
      </c>
      <c r="M142" s="37">
        <v>37</v>
      </c>
      <c r="N142" s="37">
        <v>3</v>
      </c>
      <c r="O142" s="15">
        <f t="shared" si="9"/>
        <v>12515.315170145303</v>
      </c>
      <c r="P142" s="15">
        <f t="shared" si="10"/>
        <v>463066.6612953762</v>
      </c>
      <c r="Q142" s="15">
        <f t="shared" si="8"/>
        <v>285477.8075308643</v>
      </c>
      <c r="R142" s="15">
        <f t="shared" si="11"/>
        <v>7715.61641975309</v>
      </c>
    </row>
    <row r="143" spans="10:18" ht="12.75">
      <c r="J143" s="35">
        <v>1605</v>
      </c>
      <c r="K143" s="36" t="s">
        <v>119</v>
      </c>
      <c r="L143" s="37">
        <v>8355.33310231023</v>
      </c>
      <c r="M143" s="37">
        <v>10</v>
      </c>
      <c r="N143" s="37">
        <v>0</v>
      </c>
      <c r="O143" s="15">
        <f t="shared" si="9"/>
        <v>12515.315170145303</v>
      </c>
      <c r="P143" s="15">
        <f t="shared" si="10"/>
        <v>125153.15170145303</v>
      </c>
      <c r="Q143" s="15">
        <f t="shared" si="8"/>
        <v>83553.33102310229</v>
      </c>
      <c r="R143" s="15">
        <f t="shared" si="11"/>
        <v>8355.33310231023</v>
      </c>
    </row>
    <row r="144" spans="10:18" ht="12.75">
      <c r="J144" s="35">
        <v>1617</v>
      </c>
      <c r="K144" s="36" t="s">
        <v>119</v>
      </c>
      <c r="L144" s="37">
        <v>6944.04918918919</v>
      </c>
      <c r="M144" s="37">
        <v>23</v>
      </c>
      <c r="N144" s="37">
        <v>1</v>
      </c>
      <c r="O144" s="15">
        <f t="shared" si="9"/>
        <v>12515.315170145303</v>
      </c>
      <c r="P144" s="15">
        <f t="shared" si="10"/>
        <v>287852.24891334196</v>
      </c>
      <c r="Q144" s="15">
        <f t="shared" si="8"/>
        <v>159713.13135135136</v>
      </c>
      <c r="R144" s="15">
        <f t="shared" si="11"/>
        <v>6944.04918918919</v>
      </c>
    </row>
    <row r="145" spans="10:18" ht="12.75">
      <c r="J145" s="35">
        <v>1621</v>
      </c>
      <c r="K145" s="36" t="s">
        <v>119</v>
      </c>
      <c r="L145" s="37">
        <v>4229.56633333333</v>
      </c>
      <c r="M145" s="37">
        <v>28</v>
      </c>
      <c r="N145" s="37">
        <v>3</v>
      </c>
      <c r="O145" s="15">
        <f t="shared" si="9"/>
        <v>12515.315170145303</v>
      </c>
      <c r="P145" s="15">
        <f t="shared" si="10"/>
        <v>350428.8247640685</v>
      </c>
      <c r="Q145" s="15">
        <f t="shared" si="8"/>
        <v>118427.85733333323</v>
      </c>
      <c r="R145" s="15">
        <f t="shared" si="11"/>
        <v>4229.56633333333</v>
      </c>
    </row>
    <row r="146" spans="10:18" ht="12.75">
      <c r="J146" s="35">
        <v>1648</v>
      </c>
      <c r="K146" s="36" t="s">
        <v>119</v>
      </c>
      <c r="L146" s="37">
        <v>7251.57909090909</v>
      </c>
      <c r="M146" s="37">
        <v>12</v>
      </c>
      <c r="N146" s="37">
        <v>0</v>
      </c>
      <c r="O146" s="15">
        <f t="shared" si="9"/>
        <v>12515.315170145303</v>
      </c>
      <c r="P146" s="15">
        <f t="shared" si="10"/>
        <v>150183.78204174363</v>
      </c>
      <c r="Q146" s="15">
        <f t="shared" si="8"/>
        <v>87018.94909090908</v>
      </c>
      <c r="R146" s="15">
        <f t="shared" si="11"/>
        <v>7251.57909090909</v>
      </c>
    </row>
    <row r="147" spans="10:18" ht="12.75">
      <c r="J147" s="35">
        <v>1651</v>
      </c>
      <c r="K147" s="36" t="s">
        <v>119</v>
      </c>
      <c r="L147" s="37">
        <v>14323.7763636364</v>
      </c>
      <c r="M147" s="37">
        <v>32</v>
      </c>
      <c r="N147" s="37">
        <v>1</v>
      </c>
      <c r="O147" s="15">
        <f t="shared" si="9"/>
        <v>12515.315170145303</v>
      </c>
      <c r="P147" s="15">
        <f t="shared" si="10"/>
        <v>400490.0854446497</v>
      </c>
      <c r="Q147" s="15">
        <f t="shared" si="8"/>
        <v>458360.8436363648</v>
      </c>
      <c r="R147" s="15">
        <f t="shared" si="11"/>
        <v>14323.7763636364</v>
      </c>
    </row>
    <row r="148" spans="10:18" ht="12.75">
      <c r="J148" s="35">
        <v>1654</v>
      </c>
      <c r="K148" s="36" t="s">
        <v>119</v>
      </c>
      <c r="L148" s="37">
        <v>7495.62532994924</v>
      </c>
      <c r="M148" s="37">
        <v>22</v>
      </c>
      <c r="N148" s="37">
        <v>0</v>
      </c>
      <c r="O148" s="15">
        <f t="shared" si="9"/>
        <v>12515.315170145303</v>
      </c>
      <c r="P148" s="15">
        <f t="shared" si="10"/>
        <v>275336.93374319666</v>
      </c>
      <c r="Q148" s="15">
        <f t="shared" si="8"/>
        <v>164903.75725888327</v>
      </c>
      <c r="R148" s="15">
        <f t="shared" si="11"/>
        <v>7495.625329949239</v>
      </c>
    </row>
    <row r="149" spans="10:18" ht="12.75">
      <c r="J149" s="35">
        <v>1655</v>
      </c>
      <c r="K149" s="36" t="s">
        <v>119</v>
      </c>
      <c r="L149" s="37">
        <v>6606.48343434343</v>
      </c>
      <c r="M149" s="37">
        <v>19</v>
      </c>
      <c r="N149" s="37">
        <v>0</v>
      </c>
      <c r="O149" s="15">
        <f t="shared" si="9"/>
        <v>12515.315170145303</v>
      </c>
      <c r="P149" s="15">
        <f t="shared" si="10"/>
        <v>237790.98823276075</v>
      </c>
      <c r="Q149" s="15">
        <f t="shared" si="8"/>
        <v>125523.18525252517</v>
      </c>
      <c r="R149" s="15">
        <f t="shared" si="11"/>
        <v>6606.48343434343</v>
      </c>
    </row>
    <row r="150" spans="10:18" ht="12.75">
      <c r="J150" s="35">
        <v>1657</v>
      </c>
      <c r="K150" s="36" t="s">
        <v>119</v>
      </c>
      <c r="L150" s="37">
        <v>5837.93703862661</v>
      </c>
      <c r="M150" s="37">
        <v>23</v>
      </c>
      <c r="N150" s="37">
        <v>0</v>
      </c>
      <c r="O150" s="15">
        <f t="shared" si="9"/>
        <v>12515.315170145303</v>
      </c>
      <c r="P150" s="15">
        <f t="shared" si="10"/>
        <v>287852.24891334196</v>
      </c>
      <c r="Q150" s="15">
        <f t="shared" si="8"/>
        <v>134272.55188841204</v>
      </c>
      <c r="R150" s="15">
        <f t="shared" si="11"/>
        <v>5837.93703862661</v>
      </c>
    </row>
    <row r="151" spans="10:18" ht="12.75">
      <c r="J151" s="35">
        <v>1664</v>
      </c>
      <c r="K151" s="36" t="s">
        <v>119</v>
      </c>
      <c r="L151" s="37">
        <v>7217.47648514852</v>
      </c>
      <c r="M151" s="37">
        <v>23</v>
      </c>
      <c r="N151" s="37">
        <v>1</v>
      </c>
      <c r="O151" s="15">
        <f t="shared" si="9"/>
        <v>12515.315170145303</v>
      </c>
      <c r="P151" s="15">
        <f t="shared" si="10"/>
        <v>287852.24891334196</v>
      </c>
      <c r="Q151" s="15">
        <f t="shared" si="8"/>
        <v>166001.95915841596</v>
      </c>
      <c r="R151" s="15">
        <f t="shared" si="11"/>
        <v>7217.476485148521</v>
      </c>
    </row>
    <row r="152" spans="10:18" ht="12.75">
      <c r="J152" s="35">
        <v>1808</v>
      </c>
      <c r="K152" s="36" t="s">
        <v>119</v>
      </c>
      <c r="L152" s="37">
        <v>8256.52341269841</v>
      </c>
      <c r="M152" s="37">
        <v>11</v>
      </c>
      <c r="N152" s="37">
        <v>0</v>
      </c>
      <c r="O152" s="15">
        <f t="shared" si="9"/>
        <v>12515.315170145303</v>
      </c>
      <c r="P152" s="15">
        <f t="shared" si="10"/>
        <v>137668.46687159833</v>
      </c>
      <c r="Q152" s="15">
        <f t="shared" si="8"/>
        <v>90821.75753968251</v>
      </c>
      <c r="R152" s="15">
        <f t="shared" si="11"/>
        <v>8256.52341269841</v>
      </c>
    </row>
    <row r="153" spans="10:18" ht="12.75">
      <c r="J153" s="35">
        <v>1809</v>
      </c>
      <c r="K153" s="36" t="s">
        <v>119</v>
      </c>
      <c r="L153" s="37">
        <v>7486.01176923077</v>
      </c>
      <c r="M153" s="37">
        <v>17</v>
      </c>
      <c r="N153" s="37">
        <v>0</v>
      </c>
      <c r="O153" s="15">
        <f t="shared" si="9"/>
        <v>12515.315170145303</v>
      </c>
      <c r="P153" s="15">
        <f t="shared" si="10"/>
        <v>212760.35789247014</v>
      </c>
      <c r="Q153" s="15">
        <f t="shared" si="8"/>
        <v>127262.2000769231</v>
      </c>
      <c r="R153" s="15">
        <f t="shared" si="11"/>
        <v>7486.01176923077</v>
      </c>
    </row>
    <row r="154" spans="10:18" ht="12.75">
      <c r="J154" s="35">
        <v>1810</v>
      </c>
      <c r="K154" s="36" t="s">
        <v>119</v>
      </c>
      <c r="L154" s="37">
        <v>7372.80756578948</v>
      </c>
      <c r="M154" s="37">
        <v>36</v>
      </c>
      <c r="N154" s="37">
        <v>0</v>
      </c>
      <c r="O154" s="15">
        <f t="shared" si="9"/>
        <v>12515.315170145303</v>
      </c>
      <c r="P154" s="15">
        <f t="shared" si="10"/>
        <v>450551.3461252309</v>
      </c>
      <c r="Q154" s="15">
        <f t="shared" si="8"/>
        <v>265421.07236842124</v>
      </c>
      <c r="R154" s="15">
        <f t="shared" si="11"/>
        <v>7372.807565789479</v>
      </c>
    </row>
    <row r="155" spans="10:18" ht="12.75">
      <c r="J155" s="35">
        <v>1815</v>
      </c>
      <c r="K155" s="36" t="s">
        <v>119</v>
      </c>
      <c r="L155" s="37">
        <v>7486.01176923077</v>
      </c>
      <c r="M155" s="37">
        <v>23</v>
      </c>
      <c r="N155" s="37">
        <v>0</v>
      </c>
      <c r="O155" s="15">
        <f t="shared" si="9"/>
        <v>12515.315170145303</v>
      </c>
      <c r="P155" s="15">
        <f t="shared" si="10"/>
        <v>287852.24891334196</v>
      </c>
      <c r="Q155" s="15">
        <f t="shared" si="8"/>
        <v>172178.2706923077</v>
      </c>
      <c r="R155" s="15">
        <f t="shared" si="11"/>
        <v>7486.0117692307695</v>
      </c>
    </row>
    <row r="156" spans="10:18" ht="12.75">
      <c r="J156" s="35">
        <v>1826</v>
      </c>
      <c r="K156" s="36" t="s">
        <v>119</v>
      </c>
      <c r="L156" s="37">
        <v>7372.80756578948</v>
      </c>
      <c r="M156" s="37">
        <v>14</v>
      </c>
      <c r="N156" s="37">
        <v>0</v>
      </c>
      <c r="O156" s="15">
        <f t="shared" si="9"/>
        <v>12515.315170145303</v>
      </c>
      <c r="P156" s="15">
        <f t="shared" si="10"/>
        <v>175214.41238203424</v>
      </c>
      <c r="Q156" s="15">
        <f t="shared" si="8"/>
        <v>103219.30592105271</v>
      </c>
      <c r="R156" s="15">
        <f t="shared" si="11"/>
        <v>7372.80756578948</v>
      </c>
    </row>
    <row r="157" spans="10:18" ht="12.75">
      <c r="J157" s="35">
        <v>1828</v>
      </c>
      <c r="K157" s="36" t="s">
        <v>119</v>
      </c>
      <c r="L157" s="37">
        <v>7124.84110655737</v>
      </c>
      <c r="M157" s="37">
        <v>21</v>
      </c>
      <c r="N157" s="37">
        <v>3</v>
      </c>
      <c r="O157" s="15">
        <f t="shared" si="9"/>
        <v>12515.315170145303</v>
      </c>
      <c r="P157" s="15">
        <f t="shared" si="10"/>
        <v>262821.61857305135</v>
      </c>
      <c r="Q157" s="15">
        <f t="shared" si="8"/>
        <v>149621.66323770478</v>
      </c>
      <c r="R157" s="15">
        <f t="shared" si="11"/>
        <v>7124.84110655737</v>
      </c>
    </row>
    <row r="158" spans="10:18" ht="12.75">
      <c r="J158" s="35">
        <v>1829</v>
      </c>
      <c r="K158" s="36" t="s">
        <v>119</v>
      </c>
      <c r="L158" s="37">
        <v>7964.22873015873</v>
      </c>
      <c r="M158" s="37">
        <v>26</v>
      </c>
      <c r="N158" s="37">
        <v>0</v>
      </c>
      <c r="O158" s="15">
        <f t="shared" si="9"/>
        <v>12515.315170145303</v>
      </c>
      <c r="P158" s="15">
        <f t="shared" si="10"/>
        <v>325398.19442377787</v>
      </c>
      <c r="Q158" s="15">
        <f t="shared" si="8"/>
        <v>207069.946984127</v>
      </c>
      <c r="R158" s="15">
        <f t="shared" si="11"/>
        <v>7964.22873015873</v>
      </c>
    </row>
    <row r="159" spans="10:18" ht="12.75">
      <c r="J159" s="35">
        <v>1830</v>
      </c>
      <c r="K159" s="36" t="s">
        <v>119</v>
      </c>
      <c r="L159" s="37">
        <v>7964.22873015873</v>
      </c>
      <c r="M159" s="37">
        <v>21</v>
      </c>
      <c r="N159" s="37">
        <v>0</v>
      </c>
      <c r="O159" s="15">
        <f t="shared" si="9"/>
        <v>12515.315170145303</v>
      </c>
      <c r="P159" s="15">
        <f t="shared" si="10"/>
        <v>262821.61857305135</v>
      </c>
      <c r="Q159" s="15">
        <f t="shared" si="8"/>
        <v>167248.80333333334</v>
      </c>
      <c r="R159" s="15">
        <f t="shared" si="11"/>
        <v>7964.22873015873</v>
      </c>
    </row>
    <row r="160" spans="10:18" ht="12.75">
      <c r="J160" s="35">
        <v>1832</v>
      </c>
      <c r="K160" s="36" t="s">
        <v>119</v>
      </c>
      <c r="L160" s="37">
        <v>8383.92245700246</v>
      </c>
      <c r="M160" s="37">
        <v>26</v>
      </c>
      <c r="N160" s="37">
        <v>0</v>
      </c>
      <c r="O160" s="15">
        <f t="shared" si="9"/>
        <v>12515.315170145303</v>
      </c>
      <c r="P160" s="15">
        <f t="shared" si="10"/>
        <v>325398.19442377787</v>
      </c>
      <c r="Q160" s="15">
        <f t="shared" si="8"/>
        <v>217981.98388206394</v>
      </c>
      <c r="R160" s="15">
        <f t="shared" si="11"/>
        <v>8383.92245700246</v>
      </c>
    </row>
    <row r="161" spans="10:17" ht="12.75">
      <c r="J161" s="35"/>
      <c r="K161" s="36"/>
      <c r="L161" s="37"/>
      <c r="M161" s="37">
        <f>SUM(M2:M160)</f>
        <v>3196</v>
      </c>
      <c r="N161" s="15">
        <f>SUM(N2:N160)</f>
        <v>257</v>
      </c>
      <c r="O161" s="37"/>
      <c r="P161" s="15">
        <f>SUM(P2:P160)</f>
        <v>39998947.28378439</v>
      </c>
      <c r="Q161" s="15">
        <f>SUM(Q2:Q160)</f>
        <v>29357362.875193376</v>
      </c>
    </row>
    <row r="162" spans="10:16" ht="16.5" customHeight="1">
      <c r="J162" s="35"/>
      <c r="K162" s="105" t="s">
        <v>140</v>
      </c>
      <c r="L162" s="106"/>
      <c r="M162" s="107"/>
      <c r="N162" s="37">
        <v>1120.9674845874997</v>
      </c>
      <c r="O162" s="37"/>
      <c r="P162" s="15">
        <f>P161+N165</f>
        <v>42931934.856835574</v>
      </c>
    </row>
    <row r="163" spans="10:15" ht="15.75" customHeight="1">
      <c r="J163" s="35"/>
      <c r="K163" s="105" t="s">
        <v>141</v>
      </c>
      <c r="L163" s="106"/>
      <c r="M163" s="107"/>
      <c r="N163" s="37">
        <v>10291.435523393748</v>
      </c>
      <c r="O163" s="37"/>
    </row>
    <row r="164" spans="10:15" ht="20.25" customHeight="1">
      <c r="J164" s="35"/>
      <c r="K164" s="105" t="s">
        <v>142</v>
      </c>
      <c r="L164" s="106"/>
      <c r="M164" s="107"/>
      <c r="N164" s="37">
        <f>SUM(N162:N163)</f>
        <v>11412.403007981247</v>
      </c>
      <c r="O164" s="37"/>
    </row>
    <row r="165" spans="10:15" ht="21" customHeight="1">
      <c r="J165" s="35"/>
      <c r="K165" s="105" t="s">
        <v>143</v>
      </c>
      <c r="L165" s="106"/>
      <c r="M165" s="107"/>
      <c r="N165" s="37">
        <f>N161*N164</f>
        <v>2932987.5730511807</v>
      </c>
      <c r="O165" s="37"/>
    </row>
    <row r="166" spans="10:15" ht="12.75">
      <c r="J166" s="35"/>
      <c r="K166" s="36"/>
      <c r="L166" s="37"/>
      <c r="M166" s="37"/>
      <c r="N166" s="37"/>
      <c r="O166" s="37"/>
    </row>
    <row r="167" spans="10:15" ht="12.75">
      <c r="J167" s="35"/>
      <c r="K167" s="36"/>
      <c r="L167" s="37"/>
      <c r="M167" s="37"/>
      <c r="N167" s="37"/>
      <c r="O167" s="37"/>
    </row>
    <row r="168" spans="10:15" ht="12.75">
      <c r="J168" s="35"/>
      <c r="K168" s="36"/>
      <c r="L168" s="37"/>
      <c r="M168" s="37"/>
      <c r="N168" s="37"/>
      <c r="O168" s="37"/>
    </row>
  </sheetData>
  <mergeCells count="4">
    <mergeCell ref="K162:M162"/>
    <mergeCell ref="K163:M163"/>
    <mergeCell ref="K164:M164"/>
    <mergeCell ref="K165:M165"/>
  </mergeCells>
  <printOptions gridLines="1"/>
  <pageMargins left="0.75" right="0.75" top="1" bottom="1" header="0.5" footer="0.5"/>
  <pageSetup fitToHeight="1" fitToWidth="1" horizontalDpi="300" verticalDpi="300" orientation="portrait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selection activeCell="I42" sqref="I42"/>
    </sheetView>
  </sheetViews>
  <sheetFormatPr defaultColWidth="9.140625" defaultRowHeight="12.75"/>
  <cols>
    <col min="1" max="1" width="20.28125" style="0" customWidth="1"/>
    <col min="3" max="3" width="10.28125" style="15" bestFit="1" customWidth="1"/>
    <col min="4" max="4" width="12.8515625" style="15" bestFit="1" customWidth="1"/>
    <col min="9" max="9" width="10.7109375" style="0" customWidth="1"/>
    <col min="12" max="12" width="9.28125" style="15" bestFit="1" customWidth="1"/>
    <col min="13" max="13" width="10.28125" style="15" bestFit="1" customWidth="1"/>
    <col min="14" max="14" width="14.00390625" style="15" bestFit="1" customWidth="1"/>
    <col min="15" max="15" width="9.28125" style="15" bestFit="1" customWidth="1"/>
    <col min="16" max="16" width="15.00390625" style="15" bestFit="1" customWidth="1"/>
    <col min="17" max="17" width="12.8515625" style="15" bestFit="1" customWidth="1"/>
  </cols>
  <sheetData>
    <row r="1" spans="1:18" ht="40.5">
      <c r="A1" s="1" t="s">
        <v>39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48</v>
      </c>
      <c r="J2" s="58">
        <v>76</v>
      </c>
      <c r="K2" s="59" t="s">
        <v>119</v>
      </c>
      <c r="L2" s="37">
        <v>5886.43194630873</v>
      </c>
      <c r="M2" s="37">
        <v>360</v>
      </c>
      <c r="N2" s="37">
        <v>37</v>
      </c>
      <c r="O2" s="15">
        <f>+$D$56</f>
        <v>7576.661106772374</v>
      </c>
      <c r="P2" s="15">
        <f aca="true" t="shared" si="0" ref="P2:P65">M2*O2</f>
        <v>2727597.9984380547</v>
      </c>
      <c r="Q2" s="15">
        <f aca="true" t="shared" si="1" ref="Q2:Q65">L2*M2</f>
        <v>2119115.5006711427</v>
      </c>
    </row>
    <row r="3" spans="1:17" ht="12.75">
      <c r="A3">
        <v>17184</v>
      </c>
      <c r="B3">
        <f>COUNT(M2:M81)</f>
        <v>80</v>
      </c>
      <c r="G3" t="s">
        <v>9</v>
      </c>
      <c r="J3" s="58">
        <v>141</v>
      </c>
      <c r="K3" s="59" t="s">
        <v>119</v>
      </c>
      <c r="L3" s="37">
        <v>5885.1505715433</v>
      </c>
      <c r="M3" s="37">
        <v>308</v>
      </c>
      <c r="N3" s="37">
        <v>24</v>
      </c>
      <c r="O3" s="15">
        <f aca="true" t="shared" si="2" ref="O3:O66">+$D$56</f>
        <v>7576.661106772374</v>
      </c>
      <c r="P3" s="15">
        <f t="shared" si="0"/>
        <v>2333611.6208858914</v>
      </c>
      <c r="Q3" s="15">
        <f t="shared" si="1"/>
        <v>1812626.3760353366</v>
      </c>
    </row>
    <row r="4" spans="10:17" ht="12.75">
      <c r="J4" s="58">
        <v>142</v>
      </c>
      <c r="K4" s="59" t="s">
        <v>119</v>
      </c>
      <c r="L4" s="37">
        <v>5885.1505715433</v>
      </c>
      <c r="M4" s="37">
        <v>351</v>
      </c>
      <c r="N4" s="37">
        <v>31</v>
      </c>
      <c r="O4" s="15">
        <f t="shared" si="2"/>
        <v>7576.661106772374</v>
      </c>
      <c r="P4" s="15">
        <f t="shared" si="0"/>
        <v>2659408.0484771035</v>
      </c>
      <c r="Q4" s="15">
        <f t="shared" si="1"/>
        <v>2065687.8506116983</v>
      </c>
    </row>
    <row r="5" spans="1:17" ht="12.75">
      <c r="A5" t="s">
        <v>5</v>
      </c>
      <c r="B5">
        <v>404</v>
      </c>
      <c r="G5">
        <v>360</v>
      </c>
      <c r="J5" s="58">
        <v>146</v>
      </c>
      <c r="K5" s="59" t="s">
        <v>119</v>
      </c>
      <c r="L5" s="37">
        <v>5885.1505715433</v>
      </c>
      <c r="M5" s="37">
        <v>429</v>
      </c>
      <c r="N5" s="37">
        <v>16</v>
      </c>
      <c r="O5" s="15">
        <f t="shared" si="2"/>
        <v>7576.661106772374</v>
      </c>
      <c r="P5" s="15">
        <f t="shared" si="0"/>
        <v>3250387.6148053487</v>
      </c>
      <c r="Q5" s="15">
        <f t="shared" si="1"/>
        <v>2524729.5951920757</v>
      </c>
    </row>
    <row r="6" spans="1:17" ht="12.75">
      <c r="A6" t="s">
        <v>6</v>
      </c>
      <c r="B6" s="3">
        <f>B5*E6</f>
        <v>147.46</v>
      </c>
      <c r="E6" s="4">
        <v>0.365</v>
      </c>
      <c r="G6">
        <v>86</v>
      </c>
      <c r="H6" s="4">
        <v>0.2388888888888889</v>
      </c>
      <c r="J6" s="58">
        <v>148</v>
      </c>
      <c r="K6" s="59" t="s">
        <v>119</v>
      </c>
      <c r="L6" s="37">
        <v>5885.1505715433</v>
      </c>
      <c r="M6" s="37">
        <v>361</v>
      </c>
      <c r="N6" s="37">
        <v>36</v>
      </c>
      <c r="O6" s="15">
        <f t="shared" si="2"/>
        <v>7576.661106772374</v>
      </c>
      <c r="P6" s="15">
        <f t="shared" si="0"/>
        <v>2735174.659544827</v>
      </c>
      <c r="Q6" s="15">
        <f t="shared" si="1"/>
        <v>2124539.3563271314</v>
      </c>
    </row>
    <row r="7" spans="1:17" ht="12.75">
      <c r="A7" t="s">
        <v>7</v>
      </c>
      <c r="B7" s="3">
        <f>B5*E7</f>
        <v>36.763999999999996</v>
      </c>
      <c r="E7" s="4">
        <v>0.091</v>
      </c>
      <c r="G7">
        <v>18</v>
      </c>
      <c r="H7" s="4">
        <v>0.05</v>
      </c>
      <c r="J7" s="58">
        <v>151</v>
      </c>
      <c r="K7" s="59" t="s">
        <v>119</v>
      </c>
      <c r="L7" s="37">
        <v>5885.1505715433</v>
      </c>
      <c r="M7" s="37">
        <v>337</v>
      </c>
      <c r="N7" s="37">
        <v>38</v>
      </c>
      <c r="O7" s="15">
        <f t="shared" si="2"/>
        <v>7576.661106772374</v>
      </c>
      <c r="P7" s="15">
        <f t="shared" si="0"/>
        <v>2553334.79298229</v>
      </c>
      <c r="Q7" s="15">
        <f t="shared" si="1"/>
        <v>1983295.7426100923</v>
      </c>
    </row>
    <row r="8" spans="1:17" ht="12.75">
      <c r="A8" t="s">
        <v>8</v>
      </c>
      <c r="B8" s="3">
        <f>B5*E8</f>
        <v>50.5</v>
      </c>
      <c r="E8" s="4">
        <v>0.125</v>
      </c>
      <c r="G8">
        <v>43</v>
      </c>
      <c r="H8" s="4">
        <v>0.11944444444444445</v>
      </c>
      <c r="J8" s="58">
        <v>234</v>
      </c>
      <c r="K8" s="59" t="s">
        <v>119</v>
      </c>
      <c r="L8" s="37">
        <v>6004.59184560781</v>
      </c>
      <c r="M8" s="37">
        <v>303</v>
      </c>
      <c r="N8" s="37">
        <v>43</v>
      </c>
      <c r="O8" s="15">
        <f t="shared" si="2"/>
        <v>7576.661106772374</v>
      </c>
      <c r="P8" s="15">
        <f t="shared" si="0"/>
        <v>2295728.3153520296</v>
      </c>
      <c r="Q8" s="15">
        <f t="shared" si="1"/>
        <v>1819391.3292191664</v>
      </c>
    </row>
    <row r="9" spans="5:17" ht="12.75">
      <c r="E9" s="4"/>
      <c r="J9" s="58">
        <v>412</v>
      </c>
      <c r="K9" s="59" t="s">
        <v>119</v>
      </c>
      <c r="L9" s="37">
        <v>6495.90847343378</v>
      </c>
      <c r="M9" s="37">
        <v>527</v>
      </c>
      <c r="N9" s="37">
        <v>64</v>
      </c>
      <c r="O9" s="15">
        <f t="shared" si="2"/>
        <v>7576.661106772374</v>
      </c>
      <c r="P9" s="15">
        <f t="shared" si="0"/>
        <v>3992900.4032690413</v>
      </c>
      <c r="Q9" s="15">
        <f t="shared" si="1"/>
        <v>3423343.765499602</v>
      </c>
    </row>
    <row r="10" spans="1:17" ht="12.75">
      <c r="A10" t="s">
        <v>18</v>
      </c>
      <c r="J10" s="58">
        <v>413</v>
      </c>
      <c r="K10" s="59" t="s">
        <v>119</v>
      </c>
      <c r="L10" s="37">
        <v>6495.90847343378</v>
      </c>
      <c r="M10" s="37">
        <v>306</v>
      </c>
      <c r="N10" s="37">
        <v>20</v>
      </c>
      <c r="O10" s="15">
        <f t="shared" si="2"/>
        <v>7576.661106772374</v>
      </c>
      <c r="P10" s="15">
        <f t="shared" si="0"/>
        <v>2318458.2986723464</v>
      </c>
      <c r="Q10" s="15">
        <f t="shared" si="1"/>
        <v>1987747.9928707369</v>
      </c>
    </row>
    <row r="11" spans="1:17" ht="12.75">
      <c r="A11" t="s">
        <v>15</v>
      </c>
      <c r="B11">
        <v>25</v>
      </c>
      <c r="C11" s="15">
        <v>42914.98927153859</v>
      </c>
      <c r="D11" s="15">
        <f>B11*C11</f>
        <v>1072874.7317884646</v>
      </c>
      <c r="E11" s="3">
        <f>B$5/B11</f>
        <v>16.16</v>
      </c>
      <c r="G11">
        <v>17</v>
      </c>
      <c r="H11" s="5">
        <v>21.176470588235293</v>
      </c>
      <c r="J11" s="58">
        <v>414</v>
      </c>
      <c r="K11" s="59" t="s">
        <v>119</v>
      </c>
      <c r="L11" s="37">
        <v>6495.90847343378</v>
      </c>
      <c r="M11" s="37">
        <v>347</v>
      </c>
      <c r="N11" s="37">
        <v>30</v>
      </c>
      <c r="O11" s="15">
        <f t="shared" si="2"/>
        <v>7576.661106772374</v>
      </c>
      <c r="P11" s="15">
        <f t="shared" si="0"/>
        <v>2629101.404050014</v>
      </c>
      <c r="Q11" s="15">
        <f t="shared" si="1"/>
        <v>2254080.240281522</v>
      </c>
    </row>
    <row r="12" spans="1:17" ht="12.75">
      <c r="A12" t="s">
        <v>16</v>
      </c>
      <c r="B12">
        <v>7</v>
      </c>
      <c r="C12" s="15">
        <v>42914.98927153859</v>
      </c>
      <c r="D12" s="15">
        <f>B12*C12</f>
        <v>300404.92490077013</v>
      </c>
      <c r="E12" s="3">
        <f>B$5/B12</f>
        <v>57.714285714285715</v>
      </c>
      <c r="G12">
        <v>3</v>
      </c>
      <c r="H12" s="5">
        <v>120</v>
      </c>
      <c r="J12" s="58">
        <v>415</v>
      </c>
      <c r="K12" s="59" t="s">
        <v>119</v>
      </c>
      <c r="L12" s="37">
        <v>6495.90847343378</v>
      </c>
      <c r="M12" s="37">
        <v>343</v>
      </c>
      <c r="N12" s="37">
        <v>29</v>
      </c>
      <c r="O12" s="15">
        <f t="shared" si="2"/>
        <v>7576.661106772374</v>
      </c>
      <c r="P12" s="15">
        <f t="shared" si="0"/>
        <v>2598794.7596229245</v>
      </c>
      <c r="Q12" s="15">
        <f t="shared" si="1"/>
        <v>2228096.6063877866</v>
      </c>
    </row>
    <row r="13" spans="2:17" ht="12.75">
      <c r="B13">
        <v>32</v>
      </c>
      <c r="E13" s="3">
        <f>B$5/B13</f>
        <v>12.625</v>
      </c>
      <c r="G13">
        <f>SUM(G11:G12)</f>
        <v>20</v>
      </c>
      <c r="H13">
        <v>18</v>
      </c>
      <c r="J13" s="58">
        <v>416</v>
      </c>
      <c r="K13" s="59" t="s">
        <v>119</v>
      </c>
      <c r="L13" s="37">
        <v>6495.90847343378</v>
      </c>
      <c r="M13" s="37">
        <v>336</v>
      </c>
      <c r="N13" s="37">
        <v>16</v>
      </c>
      <c r="O13" s="15">
        <f t="shared" si="2"/>
        <v>7576.661106772374</v>
      </c>
      <c r="P13" s="15">
        <f t="shared" si="0"/>
        <v>2545758.131875518</v>
      </c>
      <c r="Q13" s="15">
        <f t="shared" si="1"/>
        <v>2182625.24707375</v>
      </c>
    </row>
    <row r="14" spans="8:17" ht="12.75">
      <c r="H14" s="5"/>
      <c r="J14" s="58">
        <v>418</v>
      </c>
      <c r="K14" s="59" t="s">
        <v>119</v>
      </c>
      <c r="L14" s="37">
        <v>6648.10649761337</v>
      </c>
      <c r="M14" s="37">
        <v>414</v>
      </c>
      <c r="N14" s="37">
        <v>59</v>
      </c>
      <c r="O14" s="15">
        <f t="shared" si="2"/>
        <v>7576.661106772374</v>
      </c>
      <c r="P14" s="15">
        <f t="shared" si="0"/>
        <v>3136737.698203763</v>
      </c>
      <c r="Q14" s="15">
        <f t="shared" si="1"/>
        <v>2752316.090011935</v>
      </c>
    </row>
    <row r="15" spans="1:17" ht="12.75">
      <c r="A15" t="s">
        <v>17</v>
      </c>
      <c r="B15">
        <v>5</v>
      </c>
      <c r="C15" s="15">
        <v>20738.494724169057</v>
      </c>
      <c r="D15" s="15">
        <f>B15*C15</f>
        <v>103692.47362084528</v>
      </c>
      <c r="E15" s="3">
        <f>B$5/B15</f>
        <v>80.8</v>
      </c>
      <c r="G15">
        <v>3.5</v>
      </c>
      <c r="H15" s="5">
        <v>102.85714285714286</v>
      </c>
      <c r="J15" s="58">
        <v>439</v>
      </c>
      <c r="K15" s="59" t="s">
        <v>119</v>
      </c>
      <c r="L15" s="37">
        <v>5623.57614931238</v>
      </c>
      <c r="M15" s="37">
        <v>350</v>
      </c>
      <c r="N15" s="37">
        <v>22</v>
      </c>
      <c r="O15" s="15">
        <f t="shared" si="2"/>
        <v>7576.661106772374</v>
      </c>
      <c r="P15" s="15">
        <f t="shared" si="0"/>
        <v>2651831.387370331</v>
      </c>
      <c r="Q15" s="15">
        <f t="shared" si="1"/>
        <v>1968251.652259333</v>
      </c>
    </row>
    <row r="16" spans="8:17" ht="12.75">
      <c r="H16" s="5"/>
      <c r="J16" s="58">
        <v>442</v>
      </c>
      <c r="K16" s="59" t="s">
        <v>119</v>
      </c>
      <c r="L16" s="37">
        <v>6185.47197064989</v>
      </c>
      <c r="M16" s="37">
        <v>345</v>
      </c>
      <c r="N16" s="37">
        <v>28</v>
      </c>
      <c r="O16" s="15">
        <f t="shared" si="2"/>
        <v>7576.661106772374</v>
      </c>
      <c r="P16" s="15">
        <f t="shared" si="0"/>
        <v>2613948.081836469</v>
      </c>
      <c r="Q16" s="15">
        <f t="shared" si="1"/>
        <v>2133987.829874212</v>
      </c>
    </row>
    <row r="17" spans="1:17" ht="12.75">
      <c r="A17" t="s">
        <v>19</v>
      </c>
      <c r="B17">
        <v>4</v>
      </c>
      <c r="C17" s="15">
        <v>42914.98927153859</v>
      </c>
      <c r="D17" s="15">
        <f>B17*C17</f>
        <v>171659.95708615435</v>
      </c>
      <c r="E17" s="3">
        <f>B$8/B17</f>
        <v>12.625</v>
      </c>
      <c r="G17">
        <v>3.2</v>
      </c>
      <c r="H17" s="5">
        <v>13.4375</v>
      </c>
      <c r="J17" s="58">
        <v>453</v>
      </c>
      <c r="K17" s="59" t="s">
        <v>119</v>
      </c>
      <c r="L17" s="37">
        <v>6936.06179836512</v>
      </c>
      <c r="M17" s="37">
        <v>413</v>
      </c>
      <c r="N17" s="37">
        <v>57</v>
      </c>
      <c r="O17" s="15">
        <f t="shared" si="2"/>
        <v>7576.661106772374</v>
      </c>
      <c r="P17" s="15">
        <f t="shared" si="0"/>
        <v>3129161.0370969907</v>
      </c>
      <c r="Q17" s="15">
        <f t="shared" si="1"/>
        <v>2864593.5227247947</v>
      </c>
    </row>
    <row r="18" spans="1:17" ht="12.75">
      <c r="A18" t="s">
        <v>16</v>
      </c>
      <c r="G18">
        <v>0</v>
      </c>
      <c r="H18" s="5">
        <v>0</v>
      </c>
      <c r="J18" s="58">
        <v>467</v>
      </c>
      <c r="K18" s="59" t="s">
        <v>119</v>
      </c>
      <c r="L18" s="37">
        <v>6662.84463933415</v>
      </c>
      <c r="M18" s="37">
        <v>517</v>
      </c>
      <c r="N18" s="37">
        <v>39</v>
      </c>
      <c r="O18" s="15">
        <f t="shared" si="2"/>
        <v>7576.661106772374</v>
      </c>
      <c r="P18" s="15">
        <f t="shared" si="0"/>
        <v>3917133.7922013174</v>
      </c>
      <c r="Q18" s="15">
        <f t="shared" si="1"/>
        <v>3444690.6785357557</v>
      </c>
    </row>
    <row r="19" spans="1:17" ht="12.75">
      <c r="A19" t="s">
        <v>17</v>
      </c>
      <c r="B19">
        <v>6</v>
      </c>
      <c r="C19" s="15">
        <v>20738.494724169057</v>
      </c>
      <c r="D19" s="15">
        <f>B19*C19</f>
        <v>124430.96834501435</v>
      </c>
      <c r="E19" s="3">
        <f>B$8/B19</f>
        <v>8.416666666666666</v>
      </c>
      <c r="G19">
        <v>4</v>
      </c>
      <c r="H19" s="5">
        <v>10.75</v>
      </c>
      <c r="J19" s="58">
        <v>470</v>
      </c>
      <c r="K19" s="59" t="s">
        <v>119</v>
      </c>
      <c r="L19" s="37">
        <v>6662.84463933415</v>
      </c>
      <c r="M19" s="37">
        <v>305</v>
      </c>
      <c r="N19" s="37">
        <v>25</v>
      </c>
      <c r="O19" s="15">
        <f t="shared" si="2"/>
        <v>7576.661106772374</v>
      </c>
      <c r="P19" s="15">
        <f t="shared" si="0"/>
        <v>2310881.637565574</v>
      </c>
      <c r="Q19" s="15">
        <f t="shared" si="1"/>
        <v>2032167.6149969157</v>
      </c>
    </row>
    <row r="20" spans="8:17" ht="12.75">
      <c r="H20" s="5"/>
      <c r="J20" s="58">
        <v>490</v>
      </c>
      <c r="K20" s="59" t="s">
        <v>119</v>
      </c>
      <c r="L20" s="37">
        <v>5396.62290948276</v>
      </c>
      <c r="M20" s="37">
        <v>599</v>
      </c>
      <c r="N20" s="37">
        <v>44</v>
      </c>
      <c r="O20" s="15">
        <f t="shared" si="2"/>
        <v>7576.661106772374</v>
      </c>
      <c r="P20" s="15">
        <f t="shared" si="0"/>
        <v>4538420.002956652</v>
      </c>
      <c r="Q20" s="15">
        <f t="shared" si="1"/>
        <v>3232577.1227801736</v>
      </c>
    </row>
    <row r="21" spans="8:17" ht="12.75">
      <c r="H21" s="5"/>
      <c r="J21" s="58">
        <v>545</v>
      </c>
      <c r="K21" s="59" t="s">
        <v>119</v>
      </c>
      <c r="L21" s="37">
        <v>7372.80756578948</v>
      </c>
      <c r="M21" s="37">
        <v>375</v>
      </c>
      <c r="N21" s="37">
        <v>50</v>
      </c>
      <c r="O21" s="15">
        <f t="shared" si="2"/>
        <v>7576.661106772374</v>
      </c>
      <c r="P21" s="15">
        <f t="shared" si="0"/>
        <v>2841247.9150396404</v>
      </c>
      <c r="Q21" s="15">
        <f t="shared" si="1"/>
        <v>2764802.837171055</v>
      </c>
    </row>
    <row r="22" spans="1:17" ht="12.75">
      <c r="A22" t="s">
        <v>20</v>
      </c>
      <c r="H22" s="5"/>
      <c r="J22" s="58">
        <v>710</v>
      </c>
      <c r="K22" s="59" t="s">
        <v>119</v>
      </c>
      <c r="L22" s="37">
        <v>6650.31415778251</v>
      </c>
      <c r="M22" s="37">
        <v>356</v>
      </c>
      <c r="N22" s="37">
        <v>40</v>
      </c>
      <c r="O22" s="15">
        <f t="shared" si="2"/>
        <v>7576.661106772374</v>
      </c>
      <c r="P22" s="15">
        <f t="shared" si="0"/>
        <v>2697291.354010965</v>
      </c>
      <c r="Q22" s="15">
        <f t="shared" si="1"/>
        <v>2367511.8401705734</v>
      </c>
    </row>
    <row r="23" spans="1:17" ht="12.75">
      <c r="A23" t="s">
        <v>11</v>
      </c>
      <c r="B23">
        <v>2</v>
      </c>
      <c r="C23" s="15">
        <v>46319.211226175925</v>
      </c>
      <c r="D23" s="15">
        <f>B23*C23</f>
        <v>92638.42245235185</v>
      </c>
      <c r="E23" s="3">
        <f>B$5/B23</f>
        <v>202</v>
      </c>
      <c r="G23">
        <v>1</v>
      </c>
      <c r="H23" s="5">
        <v>360</v>
      </c>
      <c r="J23" s="58">
        <v>773</v>
      </c>
      <c r="K23" s="59" t="s">
        <v>119</v>
      </c>
      <c r="L23" s="37">
        <v>6627.79152968478</v>
      </c>
      <c r="M23" s="37">
        <v>301</v>
      </c>
      <c r="N23" s="37">
        <v>9</v>
      </c>
      <c r="O23" s="15">
        <f t="shared" si="2"/>
        <v>7576.661106772374</v>
      </c>
      <c r="P23" s="15">
        <f t="shared" si="0"/>
        <v>2280574.9931384847</v>
      </c>
      <c r="Q23" s="15">
        <f t="shared" si="1"/>
        <v>1994965.2504351186</v>
      </c>
    </row>
    <row r="24" spans="1:17" ht="12.75">
      <c r="A24" t="s">
        <v>58</v>
      </c>
      <c r="B24">
        <v>0.5</v>
      </c>
      <c r="C24" s="15">
        <v>37487.41846994718</v>
      </c>
      <c r="D24" s="15">
        <f>B24*C24</f>
        <v>18743.70923497359</v>
      </c>
      <c r="E24" s="3">
        <f>B$5/B24</f>
        <v>808</v>
      </c>
      <c r="G24">
        <v>0.2</v>
      </c>
      <c r="H24" s="5">
        <v>1800</v>
      </c>
      <c r="J24" s="58">
        <v>774</v>
      </c>
      <c r="K24" s="59" t="s">
        <v>119</v>
      </c>
      <c r="L24" s="37">
        <v>6627.79152968478</v>
      </c>
      <c r="M24" s="37">
        <v>450</v>
      </c>
      <c r="N24" s="37">
        <v>42</v>
      </c>
      <c r="O24" s="15">
        <f t="shared" si="2"/>
        <v>7576.661106772374</v>
      </c>
      <c r="P24" s="15">
        <f t="shared" si="0"/>
        <v>3409497.4980475684</v>
      </c>
      <c r="Q24" s="15">
        <f t="shared" si="1"/>
        <v>2982506.188358151</v>
      </c>
    </row>
    <row r="25" spans="1:17" ht="12.75">
      <c r="A25" t="s">
        <v>21</v>
      </c>
      <c r="B25">
        <v>0.25</v>
      </c>
      <c r="C25" s="15">
        <v>46396.4268055664</v>
      </c>
      <c r="D25" s="15">
        <f>B25*C25</f>
        <v>11599.1067013916</v>
      </c>
      <c r="E25" s="3">
        <f>B$5/B25</f>
        <v>1616</v>
      </c>
      <c r="G25">
        <v>0.1</v>
      </c>
      <c r="H25" s="5">
        <v>3600</v>
      </c>
      <c r="J25" s="58">
        <v>776</v>
      </c>
      <c r="K25" s="59" t="s">
        <v>119</v>
      </c>
      <c r="L25" s="37">
        <v>6627.79152968478</v>
      </c>
      <c r="M25" s="37">
        <v>410</v>
      </c>
      <c r="N25" s="37">
        <v>32</v>
      </c>
      <c r="O25" s="15">
        <f t="shared" si="2"/>
        <v>7576.661106772374</v>
      </c>
      <c r="P25" s="15">
        <f t="shared" si="0"/>
        <v>3106431.0537766735</v>
      </c>
      <c r="Q25" s="15">
        <f t="shared" si="1"/>
        <v>2717394.5271707596</v>
      </c>
    </row>
    <row r="26" spans="8:17" ht="12.75">
      <c r="H26" s="5"/>
      <c r="J26" s="58">
        <v>787</v>
      </c>
      <c r="K26" s="59" t="s">
        <v>119</v>
      </c>
      <c r="L26" s="37">
        <v>6627.79152968478</v>
      </c>
      <c r="M26" s="37">
        <v>367</v>
      </c>
      <c r="N26" s="37">
        <v>37</v>
      </c>
      <c r="O26" s="15">
        <f t="shared" si="2"/>
        <v>7576.661106772374</v>
      </c>
      <c r="P26" s="15">
        <f t="shared" si="0"/>
        <v>2780634.6261854614</v>
      </c>
      <c r="Q26" s="15">
        <f t="shared" si="1"/>
        <v>2432399.491394314</v>
      </c>
    </row>
    <row r="27" spans="8:17" ht="12.75">
      <c r="H27" s="5"/>
      <c r="J27" s="58">
        <v>792</v>
      </c>
      <c r="K27" s="59" t="s">
        <v>119</v>
      </c>
      <c r="L27" s="37">
        <v>5752.4341580756</v>
      </c>
      <c r="M27" s="37">
        <v>374</v>
      </c>
      <c r="N27" s="37">
        <v>44</v>
      </c>
      <c r="O27" s="15">
        <f t="shared" si="2"/>
        <v>7576.661106772374</v>
      </c>
      <c r="P27" s="15">
        <f t="shared" si="0"/>
        <v>2833671.253932868</v>
      </c>
      <c r="Q27" s="15">
        <f t="shared" si="1"/>
        <v>2151410.3751202743</v>
      </c>
    </row>
    <row r="28" spans="1:17" ht="12.75">
      <c r="A28" t="s">
        <v>19</v>
      </c>
      <c r="H28" s="5"/>
      <c r="J28" s="58">
        <v>802</v>
      </c>
      <c r="K28" s="59" t="s">
        <v>119</v>
      </c>
      <c r="L28" s="37">
        <v>6071.83841025641</v>
      </c>
      <c r="M28" s="37">
        <v>596</v>
      </c>
      <c r="N28" s="37">
        <v>64</v>
      </c>
      <c r="O28" s="15">
        <f t="shared" si="2"/>
        <v>7576.661106772374</v>
      </c>
      <c r="P28" s="15">
        <f t="shared" si="0"/>
        <v>4515690.019636335</v>
      </c>
      <c r="Q28" s="15">
        <f t="shared" si="1"/>
        <v>3618815.69251282</v>
      </c>
    </row>
    <row r="29" spans="1:17" ht="12.75">
      <c r="A29" s="6" t="s">
        <v>22</v>
      </c>
      <c r="B29">
        <v>0.5</v>
      </c>
      <c r="C29" s="15">
        <v>46396.4268055664</v>
      </c>
      <c r="D29" s="15">
        <f>B29*C29</f>
        <v>23198.2134027832</v>
      </c>
      <c r="E29" s="3">
        <f>B$8/B29</f>
        <v>101</v>
      </c>
      <c r="G29">
        <v>0.23</v>
      </c>
      <c r="H29" s="5">
        <v>186.95652173913044</v>
      </c>
      <c r="J29" s="58">
        <v>817</v>
      </c>
      <c r="K29" s="59" t="s">
        <v>119</v>
      </c>
      <c r="L29" s="37">
        <v>7036.036</v>
      </c>
      <c r="M29" s="37">
        <v>304</v>
      </c>
      <c r="N29" s="37">
        <v>48</v>
      </c>
      <c r="O29" s="15">
        <f t="shared" si="2"/>
        <v>7576.661106772374</v>
      </c>
      <c r="P29" s="15">
        <f t="shared" si="0"/>
        <v>2303304.976458802</v>
      </c>
      <c r="Q29" s="15">
        <f t="shared" si="1"/>
        <v>2138954.944</v>
      </c>
    </row>
    <row r="30" spans="1:17" ht="12.75">
      <c r="A30" t="s">
        <v>58</v>
      </c>
      <c r="G30">
        <v>0.1</v>
      </c>
      <c r="H30" s="5">
        <v>3600</v>
      </c>
      <c r="J30" s="58">
        <v>939</v>
      </c>
      <c r="K30" s="59" t="s">
        <v>119</v>
      </c>
      <c r="L30" s="37">
        <v>6616.14128598848</v>
      </c>
      <c r="M30" s="37">
        <v>389</v>
      </c>
      <c r="N30" s="37">
        <v>46</v>
      </c>
      <c r="O30" s="15">
        <f t="shared" si="2"/>
        <v>7576.661106772374</v>
      </c>
      <c r="P30" s="15">
        <f t="shared" si="0"/>
        <v>2947321.170534454</v>
      </c>
      <c r="Q30" s="15">
        <f t="shared" si="1"/>
        <v>2573678.960249519</v>
      </c>
    </row>
    <row r="31" spans="1:17" ht="12.75">
      <c r="A31" t="s">
        <v>85</v>
      </c>
      <c r="B31">
        <v>0.5</v>
      </c>
      <c r="C31" s="15">
        <v>48090.39947775422</v>
      </c>
      <c r="D31" s="15">
        <f>B31*C31</f>
        <v>24045.19973887711</v>
      </c>
      <c r="E31" s="3">
        <f>B$8/B31</f>
        <v>101</v>
      </c>
      <c r="H31" s="5"/>
      <c r="J31" s="58">
        <v>965</v>
      </c>
      <c r="K31" s="59" t="s">
        <v>119</v>
      </c>
      <c r="L31" s="37">
        <v>5796.06666666667</v>
      </c>
      <c r="M31" s="37">
        <v>444</v>
      </c>
      <c r="N31" s="37">
        <v>65</v>
      </c>
      <c r="O31" s="15">
        <f t="shared" si="2"/>
        <v>7576.661106772374</v>
      </c>
      <c r="P31" s="15">
        <f t="shared" si="0"/>
        <v>3364037.5314069344</v>
      </c>
      <c r="Q31" s="15">
        <f t="shared" si="1"/>
        <v>2573453.6000000015</v>
      </c>
    </row>
    <row r="32" spans="1:17" ht="12.75">
      <c r="A32" t="s">
        <v>86</v>
      </c>
      <c r="B32">
        <v>2</v>
      </c>
      <c r="C32" s="15">
        <v>20738.494724169057</v>
      </c>
      <c r="D32" s="15">
        <f>B32*C32</f>
        <v>41476.989448338114</v>
      </c>
      <c r="E32" s="3">
        <f>B$8/B32</f>
        <v>25.25</v>
      </c>
      <c r="H32" s="5"/>
      <c r="J32" s="58">
        <v>976</v>
      </c>
      <c r="K32" s="59" t="s">
        <v>119</v>
      </c>
      <c r="L32" s="37">
        <v>5408.48251059322</v>
      </c>
      <c r="M32" s="37">
        <v>478</v>
      </c>
      <c r="N32" s="37">
        <v>25</v>
      </c>
      <c r="O32" s="15">
        <f t="shared" si="2"/>
        <v>7576.661106772374</v>
      </c>
      <c r="P32" s="15">
        <f t="shared" si="0"/>
        <v>3621644.009037195</v>
      </c>
      <c r="Q32" s="15">
        <f t="shared" si="1"/>
        <v>2585254.640063559</v>
      </c>
    </row>
    <row r="33" spans="8:17" ht="12.75">
      <c r="H33" s="5"/>
      <c r="J33" s="58">
        <v>979</v>
      </c>
      <c r="K33" s="59" t="s">
        <v>119</v>
      </c>
      <c r="L33" s="37">
        <v>6315.88135970334</v>
      </c>
      <c r="M33" s="37">
        <v>548</v>
      </c>
      <c r="N33" s="37">
        <v>97</v>
      </c>
      <c r="O33" s="15">
        <f t="shared" si="2"/>
        <v>7576.661106772374</v>
      </c>
      <c r="P33" s="15">
        <f t="shared" si="0"/>
        <v>4152010.286511261</v>
      </c>
      <c r="Q33" s="15">
        <f t="shared" si="1"/>
        <v>3461102.9851174303</v>
      </c>
    </row>
    <row r="34" spans="8:17" ht="12.75">
      <c r="H34" s="5"/>
      <c r="J34" s="58">
        <v>1085</v>
      </c>
      <c r="K34" s="59" t="s">
        <v>119</v>
      </c>
      <c r="L34" s="37">
        <v>5713.60976349302</v>
      </c>
      <c r="M34" s="37">
        <v>427</v>
      </c>
      <c r="N34" s="37">
        <v>46</v>
      </c>
      <c r="O34" s="15">
        <f t="shared" si="2"/>
        <v>7576.661106772374</v>
      </c>
      <c r="P34" s="15">
        <f t="shared" si="0"/>
        <v>3235234.2925918037</v>
      </c>
      <c r="Q34" s="15">
        <f t="shared" si="1"/>
        <v>2439711.3690115195</v>
      </c>
    </row>
    <row r="35" spans="1:17" ht="12.75">
      <c r="A35" t="s">
        <v>12</v>
      </c>
      <c r="H35" s="5"/>
      <c r="J35" s="58">
        <v>1095</v>
      </c>
      <c r="K35" s="59" t="s">
        <v>119</v>
      </c>
      <c r="L35" s="37">
        <v>5713.60976349302</v>
      </c>
      <c r="M35" s="37">
        <v>314</v>
      </c>
      <c r="N35" s="37">
        <v>19</v>
      </c>
      <c r="O35" s="15">
        <f t="shared" si="2"/>
        <v>7576.661106772374</v>
      </c>
      <c r="P35" s="15">
        <f t="shared" si="0"/>
        <v>2379071.5875265254</v>
      </c>
      <c r="Q35" s="15">
        <f t="shared" si="1"/>
        <v>1794073.4657368083</v>
      </c>
    </row>
    <row r="36" spans="1:17" ht="12.75">
      <c r="A36" t="s">
        <v>24</v>
      </c>
      <c r="B36">
        <v>1</v>
      </c>
      <c r="C36" s="15">
        <v>41163.357056373745</v>
      </c>
      <c r="D36" s="15">
        <f>B36*C36</f>
        <v>41163.357056373745</v>
      </c>
      <c r="E36" s="3">
        <f>B$5/B36</f>
        <v>404</v>
      </c>
      <c r="G36">
        <v>1</v>
      </c>
      <c r="H36" s="5">
        <v>360</v>
      </c>
      <c r="J36" s="58">
        <v>1101</v>
      </c>
      <c r="K36" s="59" t="s">
        <v>119</v>
      </c>
      <c r="L36" s="37">
        <v>5713.60976349302</v>
      </c>
      <c r="M36" s="37">
        <v>412</v>
      </c>
      <c r="N36" s="37">
        <v>44</v>
      </c>
      <c r="O36" s="15">
        <f t="shared" si="2"/>
        <v>7576.661106772374</v>
      </c>
      <c r="P36" s="15">
        <f t="shared" si="0"/>
        <v>3121584.375990218</v>
      </c>
      <c r="Q36" s="15">
        <f t="shared" si="1"/>
        <v>2354007.222559124</v>
      </c>
    </row>
    <row r="37" spans="1:17" ht="12.75">
      <c r="A37" t="s">
        <v>25</v>
      </c>
      <c r="B37">
        <v>1</v>
      </c>
      <c r="C37" s="15">
        <v>38216.04733492906</v>
      </c>
      <c r="D37" s="15">
        <f>B37*C37</f>
        <v>38216.04733492906</v>
      </c>
      <c r="E37" s="3">
        <f>B$5/B37</f>
        <v>404</v>
      </c>
      <c r="G37">
        <v>1</v>
      </c>
      <c r="H37" s="5">
        <v>360</v>
      </c>
      <c r="J37" s="58">
        <v>1176</v>
      </c>
      <c r="K37" s="59" t="s">
        <v>119</v>
      </c>
      <c r="L37" s="37">
        <v>8383.92245700246</v>
      </c>
      <c r="M37" s="37">
        <v>303</v>
      </c>
      <c r="N37" s="37">
        <v>60</v>
      </c>
      <c r="O37" s="15">
        <f t="shared" si="2"/>
        <v>7576.661106772374</v>
      </c>
      <c r="P37" s="15">
        <f t="shared" si="0"/>
        <v>2295728.3153520296</v>
      </c>
      <c r="Q37" s="15">
        <f t="shared" si="1"/>
        <v>2540328.5044717453</v>
      </c>
    </row>
    <row r="38" spans="1:17" ht="12.75">
      <c r="A38" t="s">
        <v>26</v>
      </c>
      <c r="B38">
        <v>2</v>
      </c>
      <c r="D38" s="15">
        <f>3.6*14400</f>
        <v>51840</v>
      </c>
      <c r="E38" s="3">
        <f>B$5/B38</f>
        <v>202</v>
      </c>
      <c r="G38" s="7">
        <v>19800</v>
      </c>
      <c r="H38" s="5" t="s">
        <v>10</v>
      </c>
      <c r="J38" s="58">
        <v>1255</v>
      </c>
      <c r="K38" s="59" t="s">
        <v>119</v>
      </c>
      <c r="L38" s="37">
        <v>6306.42772198106</v>
      </c>
      <c r="M38" s="37">
        <v>335</v>
      </c>
      <c r="N38" s="37">
        <v>35</v>
      </c>
      <c r="O38" s="15">
        <f t="shared" si="2"/>
        <v>7576.661106772374</v>
      </c>
      <c r="P38" s="15">
        <f t="shared" si="0"/>
        <v>2538181.4707687455</v>
      </c>
      <c r="Q38" s="15">
        <f t="shared" si="1"/>
        <v>2112653.2868636553</v>
      </c>
    </row>
    <row r="39" spans="8:17" ht="12.75">
      <c r="H39" s="5"/>
      <c r="J39" s="58">
        <v>1262</v>
      </c>
      <c r="K39" s="59" t="s">
        <v>119</v>
      </c>
      <c r="L39" s="37">
        <v>6306.42772198106</v>
      </c>
      <c r="M39" s="37">
        <v>321</v>
      </c>
      <c r="N39" s="37">
        <v>48</v>
      </c>
      <c r="O39" s="15">
        <f t="shared" si="2"/>
        <v>7576.661106772374</v>
      </c>
      <c r="P39" s="15">
        <f t="shared" si="0"/>
        <v>2432108.215273932</v>
      </c>
      <c r="Q39" s="15">
        <f t="shared" si="1"/>
        <v>2024363.2987559203</v>
      </c>
    </row>
    <row r="40" spans="1:17" ht="12.75">
      <c r="A40" t="s">
        <v>27</v>
      </c>
      <c r="H40" s="5"/>
      <c r="J40" s="58">
        <v>1263</v>
      </c>
      <c r="K40" s="59" t="s">
        <v>119</v>
      </c>
      <c r="L40" s="37">
        <v>6306.42772198106</v>
      </c>
      <c r="M40" s="37">
        <v>316</v>
      </c>
      <c r="N40" s="37">
        <v>31</v>
      </c>
      <c r="O40" s="15">
        <f t="shared" si="2"/>
        <v>7576.661106772374</v>
      </c>
      <c r="P40" s="15">
        <f t="shared" si="0"/>
        <v>2394224.9097400703</v>
      </c>
      <c r="Q40" s="15">
        <f t="shared" si="1"/>
        <v>1992831.160146015</v>
      </c>
    </row>
    <row r="41" spans="1:17" ht="12.75">
      <c r="A41" t="s">
        <v>13</v>
      </c>
      <c r="B41">
        <v>1</v>
      </c>
      <c r="C41" s="15">
        <v>66157.3544068731</v>
      </c>
      <c r="D41" s="15">
        <f>B41*C41</f>
        <v>66157.3544068731</v>
      </c>
      <c r="E41" s="3">
        <f>B$5/B41</f>
        <v>404</v>
      </c>
      <c r="G41">
        <v>1</v>
      </c>
      <c r="H41" s="5">
        <v>360</v>
      </c>
      <c r="J41" s="58">
        <v>1266</v>
      </c>
      <c r="K41" s="59" t="s">
        <v>119</v>
      </c>
      <c r="L41" s="37">
        <v>6306.42772198106</v>
      </c>
      <c r="M41" s="37">
        <v>324</v>
      </c>
      <c r="N41" s="37">
        <v>39</v>
      </c>
      <c r="O41" s="15">
        <f t="shared" si="2"/>
        <v>7576.661106772374</v>
      </c>
      <c r="P41" s="15">
        <f t="shared" si="0"/>
        <v>2454838.1985942493</v>
      </c>
      <c r="Q41" s="15">
        <f t="shared" si="1"/>
        <v>2043282.5819218634</v>
      </c>
    </row>
    <row r="42" spans="1:17" ht="12.75">
      <c r="A42" t="s">
        <v>59</v>
      </c>
      <c r="B42">
        <v>1</v>
      </c>
      <c r="C42" s="15">
        <v>65177.700376459674</v>
      </c>
      <c r="D42" s="15">
        <f>B42*C42</f>
        <v>65177.700376459674</v>
      </c>
      <c r="E42" s="3">
        <f>B$5/B42</f>
        <v>404</v>
      </c>
      <c r="G42">
        <v>0</v>
      </c>
      <c r="H42" s="5">
        <v>0</v>
      </c>
      <c r="J42" s="58">
        <v>1272</v>
      </c>
      <c r="K42" s="59" t="s">
        <v>119</v>
      </c>
      <c r="L42" s="37">
        <v>6306.42772198106</v>
      </c>
      <c r="M42" s="37">
        <v>381</v>
      </c>
      <c r="N42" s="37">
        <v>56</v>
      </c>
      <c r="O42" s="15">
        <f t="shared" si="2"/>
        <v>7576.661106772374</v>
      </c>
      <c r="P42" s="15">
        <f t="shared" si="0"/>
        <v>2886707.8816802744</v>
      </c>
      <c r="Q42" s="15">
        <f t="shared" si="1"/>
        <v>2402748.962074784</v>
      </c>
    </row>
    <row r="43" spans="1:17" ht="12.75">
      <c r="A43" t="s">
        <v>14</v>
      </c>
      <c r="B43">
        <v>2</v>
      </c>
      <c r="C43" s="15">
        <v>25044.977520676086</v>
      </c>
      <c r="D43" s="15">
        <f>B43*C43</f>
        <v>50089.95504135217</v>
      </c>
      <c r="E43" s="3">
        <f>B$5/B43</f>
        <v>202</v>
      </c>
      <c r="G43">
        <v>1.5</v>
      </c>
      <c r="H43" s="5">
        <v>240</v>
      </c>
      <c r="J43" s="58">
        <v>1276</v>
      </c>
      <c r="K43" s="59" t="s">
        <v>119</v>
      </c>
      <c r="L43" s="37">
        <v>5599.08519417476</v>
      </c>
      <c r="M43" s="37">
        <v>445</v>
      </c>
      <c r="N43" s="37">
        <v>58</v>
      </c>
      <c r="O43" s="15">
        <f t="shared" si="2"/>
        <v>7576.661106772374</v>
      </c>
      <c r="P43" s="15">
        <f t="shared" si="0"/>
        <v>3371614.1925137066</v>
      </c>
      <c r="Q43" s="15">
        <f t="shared" si="1"/>
        <v>2491592.9114077683</v>
      </c>
    </row>
    <row r="44" spans="10:17" ht="12.75">
      <c r="J44" s="58">
        <v>1280</v>
      </c>
      <c r="K44" s="59" t="s">
        <v>119</v>
      </c>
      <c r="L44" s="37">
        <v>5794.05366209262</v>
      </c>
      <c r="M44" s="37">
        <v>452</v>
      </c>
      <c r="N44" s="37">
        <v>30</v>
      </c>
      <c r="O44" s="15">
        <f t="shared" si="2"/>
        <v>7576.661106772374</v>
      </c>
      <c r="P44" s="15">
        <f t="shared" si="0"/>
        <v>3424650.8202611133</v>
      </c>
      <c r="Q44" s="15">
        <f t="shared" si="1"/>
        <v>2618912.255265864</v>
      </c>
    </row>
    <row r="45" spans="1:17" ht="12.75">
      <c r="A45" t="s">
        <v>28</v>
      </c>
      <c r="G45" t="s">
        <v>35</v>
      </c>
      <c r="J45" s="58">
        <v>1282</v>
      </c>
      <c r="K45" s="59" t="s">
        <v>119</v>
      </c>
      <c r="L45" s="37">
        <v>5794.05366209262</v>
      </c>
      <c r="M45" s="37">
        <v>338</v>
      </c>
      <c r="N45" s="37">
        <v>27</v>
      </c>
      <c r="O45" s="15">
        <f t="shared" si="2"/>
        <v>7576.661106772374</v>
      </c>
      <c r="P45" s="15">
        <f t="shared" si="0"/>
        <v>2560911.4540890623</v>
      </c>
      <c r="Q45" s="15">
        <f t="shared" si="1"/>
        <v>1958390.1377873055</v>
      </c>
    </row>
    <row r="46" spans="1:17" ht="12.75">
      <c r="A46" t="s">
        <v>29</v>
      </c>
      <c r="D46" s="15">
        <v>250</v>
      </c>
      <c r="E46">
        <v>250</v>
      </c>
      <c r="H46">
        <v>200</v>
      </c>
      <c r="J46" s="58">
        <v>1296</v>
      </c>
      <c r="K46" s="59" t="s">
        <v>119</v>
      </c>
      <c r="L46" s="37">
        <v>6432.74606138107</v>
      </c>
      <c r="M46" s="37">
        <v>357</v>
      </c>
      <c r="N46" s="37">
        <v>28</v>
      </c>
      <c r="O46" s="15">
        <f t="shared" si="2"/>
        <v>7576.661106772374</v>
      </c>
      <c r="P46" s="15">
        <f t="shared" si="0"/>
        <v>2704868.0151177375</v>
      </c>
      <c r="Q46" s="15">
        <f t="shared" si="1"/>
        <v>2296490.343913042</v>
      </c>
    </row>
    <row r="47" spans="1:17" ht="12.75">
      <c r="A47" t="s">
        <v>30</v>
      </c>
      <c r="D47" s="15">
        <v>100</v>
      </c>
      <c r="E47">
        <v>100</v>
      </c>
      <c r="H47">
        <v>50</v>
      </c>
      <c r="J47" s="58">
        <v>1300</v>
      </c>
      <c r="K47" s="59" t="s">
        <v>119</v>
      </c>
      <c r="L47" s="37">
        <v>5356.98941680961</v>
      </c>
      <c r="M47" s="37">
        <v>450</v>
      </c>
      <c r="N47" s="37">
        <v>48</v>
      </c>
      <c r="O47" s="15">
        <f t="shared" si="2"/>
        <v>7576.661106772374</v>
      </c>
      <c r="P47" s="15">
        <f t="shared" si="0"/>
        <v>3409497.4980475684</v>
      </c>
      <c r="Q47" s="15">
        <f t="shared" si="1"/>
        <v>2410645.2375643244</v>
      </c>
    </row>
    <row r="48" spans="1:17" ht="12.75">
      <c r="A48" t="s">
        <v>31</v>
      </c>
      <c r="D48" s="15">
        <v>300</v>
      </c>
      <c r="E48">
        <v>300</v>
      </c>
      <c r="H48">
        <v>275</v>
      </c>
      <c r="J48" s="58">
        <v>1307</v>
      </c>
      <c r="K48" s="59" t="s">
        <v>119</v>
      </c>
      <c r="L48" s="37">
        <v>6306.42772198106</v>
      </c>
      <c r="M48" s="37">
        <v>365</v>
      </c>
      <c r="N48" s="37">
        <v>43</v>
      </c>
      <c r="O48" s="15">
        <f t="shared" si="2"/>
        <v>7576.661106772374</v>
      </c>
      <c r="P48" s="15">
        <f t="shared" si="0"/>
        <v>2765481.3039719164</v>
      </c>
      <c r="Q48" s="15">
        <f t="shared" si="1"/>
        <v>2301846.118523087</v>
      </c>
    </row>
    <row r="49" spans="1:17" ht="12.75">
      <c r="A49" t="s">
        <v>32</v>
      </c>
      <c r="D49" s="15">
        <v>50</v>
      </c>
      <c r="E49">
        <v>50</v>
      </c>
      <c r="H49">
        <v>20</v>
      </c>
      <c r="J49" s="58">
        <v>1308</v>
      </c>
      <c r="K49" s="59" t="s">
        <v>119</v>
      </c>
      <c r="L49" s="37">
        <v>6306.42772198106</v>
      </c>
      <c r="M49" s="37">
        <v>371</v>
      </c>
      <c r="N49" s="37">
        <v>42</v>
      </c>
      <c r="O49" s="15">
        <f t="shared" si="2"/>
        <v>7576.661106772374</v>
      </c>
      <c r="P49" s="15">
        <f t="shared" si="0"/>
        <v>2810941.270612551</v>
      </c>
      <c r="Q49" s="15">
        <f t="shared" si="1"/>
        <v>2339684.684854973</v>
      </c>
    </row>
    <row r="50" spans="1:17" ht="12.75">
      <c r="A50" t="s">
        <v>33</v>
      </c>
      <c r="D50" s="15">
        <v>50</v>
      </c>
      <c r="E50">
        <v>50</v>
      </c>
      <c r="H50">
        <v>50</v>
      </c>
      <c r="J50" s="58">
        <v>1405</v>
      </c>
      <c r="K50" s="59" t="s">
        <v>119</v>
      </c>
      <c r="L50" s="37">
        <v>5885.1505715433</v>
      </c>
      <c r="M50" s="37">
        <v>310</v>
      </c>
      <c r="N50" s="37">
        <v>32</v>
      </c>
      <c r="O50" s="15">
        <f t="shared" si="2"/>
        <v>7576.661106772374</v>
      </c>
      <c r="P50" s="15">
        <f t="shared" si="0"/>
        <v>2348764.943099436</v>
      </c>
      <c r="Q50" s="15">
        <f t="shared" si="1"/>
        <v>1824396.6771784232</v>
      </c>
    </row>
    <row r="51" spans="1:17" ht="12.75">
      <c r="A51" t="s">
        <v>34</v>
      </c>
      <c r="D51" s="15">
        <v>25</v>
      </c>
      <c r="E51">
        <v>25</v>
      </c>
      <c r="J51" s="58">
        <v>1419</v>
      </c>
      <c r="K51" s="59" t="s">
        <v>119</v>
      </c>
      <c r="L51" s="37">
        <v>5885.1505715433</v>
      </c>
      <c r="M51" s="37">
        <v>330</v>
      </c>
      <c r="N51" s="37">
        <v>35</v>
      </c>
      <c r="O51" s="15">
        <f t="shared" si="2"/>
        <v>7576.661106772374</v>
      </c>
      <c r="P51" s="15">
        <f t="shared" si="0"/>
        <v>2500298.1652348833</v>
      </c>
      <c r="Q51" s="15">
        <f t="shared" si="1"/>
        <v>1942099.6886092892</v>
      </c>
    </row>
    <row r="52" spans="10:17" ht="12.75">
      <c r="J52" s="58">
        <v>1439</v>
      </c>
      <c r="K52" s="59" t="s">
        <v>119</v>
      </c>
      <c r="L52" s="37">
        <v>6306.42772198106</v>
      </c>
      <c r="M52" s="37">
        <v>470</v>
      </c>
      <c r="N52" s="37">
        <v>144</v>
      </c>
      <c r="O52" s="15">
        <f t="shared" si="2"/>
        <v>7576.661106772374</v>
      </c>
      <c r="P52" s="15">
        <f t="shared" si="0"/>
        <v>3561030.720183016</v>
      </c>
      <c r="Q52" s="15">
        <f t="shared" si="1"/>
        <v>2964021.0293310983</v>
      </c>
    </row>
    <row r="53" spans="1:17" ht="12.75">
      <c r="A53" t="s">
        <v>134</v>
      </c>
      <c r="D53" s="15">
        <f>SUM(D11:D43)+SUM(D46:D51)*B5</f>
        <v>2610509.110935952</v>
      </c>
      <c r="J53" s="58">
        <v>1443</v>
      </c>
      <c r="K53" s="59" t="s">
        <v>119</v>
      </c>
      <c r="L53" s="37">
        <v>6627.79152968478</v>
      </c>
      <c r="M53" s="37">
        <v>452</v>
      </c>
      <c r="N53" s="37">
        <v>49</v>
      </c>
      <c r="O53" s="15">
        <f t="shared" si="2"/>
        <v>7576.661106772374</v>
      </c>
      <c r="P53" s="15">
        <f t="shared" si="0"/>
        <v>3424650.8202611133</v>
      </c>
      <c r="Q53" s="15">
        <f t="shared" si="1"/>
        <v>2995761.7714175205</v>
      </c>
    </row>
    <row r="54" spans="1:17" ht="12.75">
      <c r="A54" t="s">
        <v>137</v>
      </c>
      <c r="D54" s="15">
        <f>D53/404</f>
        <v>6461.656215188</v>
      </c>
      <c r="J54" s="58">
        <v>1465</v>
      </c>
      <c r="K54" s="59" t="s">
        <v>119</v>
      </c>
      <c r="L54" s="37">
        <v>6132.81431447747</v>
      </c>
      <c r="M54" s="37">
        <v>339</v>
      </c>
      <c r="N54" s="37">
        <v>28</v>
      </c>
      <c r="O54" s="15">
        <f t="shared" si="2"/>
        <v>7576.661106772374</v>
      </c>
      <c r="P54" s="15">
        <f t="shared" si="0"/>
        <v>2568488.115195835</v>
      </c>
      <c r="Q54" s="15">
        <f t="shared" si="1"/>
        <v>2079024.0526078625</v>
      </c>
    </row>
    <row r="55" spans="1:17" ht="12.75">
      <c r="A55" t="s">
        <v>138</v>
      </c>
      <c r="D55" s="15">
        <v>1115.0048915843747</v>
      </c>
      <c r="J55" s="58">
        <v>1471</v>
      </c>
      <c r="K55" s="59" t="s">
        <v>119</v>
      </c>
      <c r="L55" s="37">
        <v>6306.42772198106</v>
      </c>
      <c r="M55" s="37">
        <v>444</v>
      </c>
      <c r="N55" s="37">
        <v>54</v>
      </c>
      <c r="O55" s="15">
        <f t="shared" si="2"/>
        <v>7576.661106772374</v>
      </c>
      <c r="P55" s="15">
        <f t="shared" si="0"/>
        <v>3364037.5314069344</v>
      </c>
      <c r="Q55" s="15">
        <f t="shared" si="1"/>
        <v>2800053.9085595906</v>
      </c>
    </row>
    <row r="56" spans="1:17" ht="12.75">
      <c r="A56" t="s">
        <v>135</v>
      </c>
      <c r="D56" s="15">
        <f>SUM(D54:D55)</f>
        <v>7576.661106772374</v>
      </c>
      <c r="J56" s="58">
        <v>1478</v>
      </c>
      <c r="K56" s="59" t="s">
        <v>119</v>
      </c>
      <c r="L56" s="37">
        <v>6273.22698816924</v>
      </c>
      <c r="M56" s="37">
        <v>437</v>
      </c>
      <c r="N56" s="37">
        <v>69</v>
      </c>
      <c r="O56" s="15">
        <f t="shared" si="2"/>
        <v>7576.661106772374</v>
      </c>
      <c r="P56" s="15">
        <f t="shared" si="0"/>
        <v>3311000.9036595277</v>
      </c>
      <c r="Q56" s="15">
        <f t="shared" si="1"/>
        <v>2741400.193829958</v>
      </c>
    </row>
    <row r="57" spans="1:17" ht="12.75">
      <c r="A57" t="s">
        <v>136</v>
      </c>
      <c r="D57" s="15">
        <f>+'Additional Costs'!E16</f>
        <v>1091.1545195718747</v>
      </c>
      <c r="J57" s="58">
        <v>1480</v>
      </c>
      <c r="K57" s="59" t="s">
        <v>119</v>
      </c>
      <c r="L57" s="37">
        <v>6306.42772198106</v>
      </c>
      <c r="M57" s="37">
        <v>375</v>
      </c>
      <c r="N57" s="37">
        <v>46</v>
      </c>
      <c r="O57" s="15">
        <f t="shared" si="2"/>
        <v>7576.661106772374</v>
      </c>
      <c r="P57" s="15">
        <f t="shared" si="0"/>
        <v>2841247.9150396404</v>
      </c>
      <c r="Q57" s="15">
        <f t="shared" si="1"/>
        <v>2364910.3957428974</v>
      </c>
    </row>
    <row r="58" spans="1:17" ht="12.75">
      <c r="A58" t="s">
        <v>208</v>
      </c>
      <c r="D58" s="15">
        <f>+'Additional Costs'!E25</f>
        <v>10488.201092496873</v>
      </c>
      <c r="J58" s="58">
        <v>1495</v>
      </c>
      <c r="K58" s="59" t="s">
        <v>119</v>
      </c>
      <c r="L58" s="37">
        <v>7565.84328264759</v>
      </c>
      <c r="M58" s="37">
        <v>302</v>
      </c>
      <c r="N58" s="37">
        <v>43</v>
      </c>
      <c r="O58" s="15">
        <f t="shared" si="2"/>
        <v>7576.661106772374</v>
      </c>
      <c r="P58" s="15">
        <f t="shared" si="0"/>
        <v>2288151.654245257</v>
      </c>
      <c r="Q58" s="15">
        <f t="shared" si="1"/>
        <v>2284884.671359572</v>
      </c>
    </row>
    <row r="59" spans="1:17" ht="12.75">
      <c r="A59" t="s">
        <v>209</v>
      </c>
      <c r="D59" s="15">
        <f>+D58+D57</f>
        <v>11579.355612068748</v>
      </c>
      <c r="J59" s="58">
        <v>1500</v>
      </c>
      <c r="K59" s="59" t="s">
        <v>119</v>
      </c>
      <c r="L59" s="37">
        <v>6598.1423909396</v>
      </c>
      <c r="M59" s="37">
        <v>615</v>
      </c>
      <c r="N59" s="37">
        <v>33</v>
      </c>
      <c r="O59" s="15">
        <f t="shared" si="2"/>
        <v>7576.661106772374</v>
      </c>
      <c r="P59" s="15">
        <f t="shared" si="0"/>
        <v>4659646.58066501</v>
      </c>
      <c r="Q59" s="15">
        <f t="shared" si="1"/>
        <v>4057857.570427854</v>
      </c>
    </row>
    <row r="60" spans="10:17" ht="12.75">
      <c r="J60" s="58">
        <v>1525</v>
      </c>
      <c r="K60" s="59" t="s">
        <v>119</v>
      </c>
      <c r="L60" s="37">
        <v>6851.85970972424</v>
      </c>
      <c r="M60" s="37">
        <v>331</v>
      </c>
      <c r="N60" s="37">
        <v>30</v>
      </c>
      <c r="O60" s="15">
        <f t="shared" si="2"/>
        <v>7576.661106772374</v>
      </c>
      <c r="P60" s="15">
        <f t="shared" si="0"/>
        <v>2507874.826341656</v>
      </c>
      <c r="Q60" s="15">
        <f t="shared" si="1"/>
        <v>2267965.5639187233</v>
      </c>
    </row>
    <row r="61" spans="10:17" ht="12.75">
      <c r="J61" s="58">
        <v>1526</v>
      </c>
      <c r="K61" s="59" t="s">
        <v>119</v>
      </c>
      <c r="L61" s="37">
        <v>7174.16209410206</v>
      </c>
      <c r="M61" s="37">
        <v>408</v>
      </c>
      <c r="N61" s="37">
        <v>77</v>
      </c>
      <c r="O61" s="15">
        <f t="shared" si="2"/>
        <v>7576.661106772374</v>
      </c>
      <c r="P61" s="15">
        <f t="shared" si="0"/>
        <v>3091277.7315631285</v>
      </c>
      <c r="Q61" s="15">
        <f t="shared" si="1"/>
        <v>2927058.1343936403</v>
      </c>
    </row>
    <row r="62" spans="10:17" ht="12.75">
      <c r="J62" s="58">
        <v>1528</v>
      </c>
      <c r="K62" s="59" t="s">
        <v>119</v>
      </c>
      <c r="L62" s="37">
        <v>5713.60976349302</v>
      </c>
      <c r="M62" s="37">
        <v>431</v>
      </c>
      <c r="N62" s="37">
        <v>19</v>
      </c>
      <c r="O62" s="15">
        <f t="shared" si="2"/>
        <v>7576.661106772374</v>
      </c>
      <c r="P62" s="15">
        <f t="shared" si="0"/>
        <v>3265540.937018893</v>
      </c>
      <c r="Q62" s="15">
        <f t="shared" si="1"/>
        <v>2462565.8080654917</v>
      </c>
    </row>
    <row r="63" spans="10:17" ht="12.75">
      <c r="J63" s="58">
        <v>1530</v>
      </c>
      <c r="K63" s="59" t="s">
        <v>119</v>
      </c>
      <c r="L63" s="37">
        <v>5885.1505715433</v>
      </c>
      <c r="M63" s="37">
        <v>311</v>
      </c>
      <c r="N63" s="37">
        <v>35</v>
      </c>
      <c r="O63" s="15">
        <f t="shared" si="2"/>
        <v>7576.661106772374</v>
      </c>
      <c r="P63" s="15">
        <f t="shared" si="0"/>
        <v>2356341.6042062086</v>
      </c>
      <c r="Q63" s="15">
        <f t="shared" si="1"/>
        <v>1830281.8277499664</v>
      </c>
    </row>
    <row r="64" spans="10:17" ht="12.75">
      <c r="J64" s="58">
        <v>1533</v>
      </c>
      <c r="K64" s="59" t="s">
        <v>119</v>
      </c>
      <c r="L64" s="37">
        <v>6241.8061627907</v>
      </c>
      <c r="M64" s="37">
        <v>352</v>
      </c>
      <c r="N64" s="37">
        <v>42</v>
      </c>
      <c r="O64" s="15">
        <f t="shared" si="2"/>
        <v>7576.661106772374</v>
      </c>
      <c r="P64" s="15">
        <f t="shared" si="0"/>
        <v>2666984.7095838757</v>
      </c>
      <c r="Q64" s="15">
        <f t="shared" si="1"/>
        <v>2197115.7693023263</v>
      </c>
    </row>
    <row r="65" spans="10:17" ht="12.75">
      <c r="J65" s="58">
        <v>1557</v>
      </c>
      <c r="K65" s="59" t="s">
        <v>119</v>
      </c>
      <c r="L65" s="37">
        <v>5826.18942877802</v>
      </c>
      <c r="M65" s="37">
        <v>433</v>
      </c>
      <c r="N65" s="37">
        <v>51</v>
      </c>
      <c r="O65" s="15">
        <f t="shared" si="2"/>
        <v>7576.661106772374</v>
      </c>
      <c r="P65" s="15">
        <f t="shared" si="0"/>
        <v>3280694.259232438</v>
      </c>
      <c r="Q65" s="15">
        <f t="shared" si="1"/>
        <v>2522740.0226608827</v>
      </c>
    </row>
    <row r="66" spans="10:17" ht="12.75">
      <c r="J66" s="58">
        <v>1560</v>
      </c>
      <c r="K66" s="59" t="s">
        <v>119</v>
      </c>
      <c r="L66" s="37">
        <v>5599.08519417476</v>
      </c>
      <c r="M66" s="37">
        <v>378</v>
      </c>
      <c r="N66" s="37">
        <v>49</v>
      </c>
      <c r="O66" s="15">
        <f t="shared" si="2"/>
        <v>7576.661106772374</v>
      </c>
      <c r="P66" s="15">
        <f aca="true" t="shared" si="3" ref="P66:P81">M66*O66</f>
        <v>2863977.8983599576</v>
      </c>
      <c r="Q66" s="15">
        <f aca="true" t="shared" si="4" ref="Q66:Q81">L66*M66</f>
        <v>2116454.203398059</v>
      </c>
    </row>
    <row r="67" spans="10:17" ht="12.75">
      <c r="J67" s="58">
        <v>1571</v>
      </c>
      <c r="K67" s="59" t="s">
        <v>119</v>
      </c>
      <c r="L67" s="37">
        <v>6648.10649761337</v>
      </c>
      <c r="M67" s="37">
        <v>472</v>
      </c>
      <c r="N67" s="37">
        <v>61</v>
      </c>
      <c r="O67" s="15">
        <f aca="true" t="shared" si="5" ref="O67:O81">+$D$56</f>
        <v>7576.661106772374</v>
      </c>
      <c r="P67" s="15">
        <f t="shared" si="3"/>
        <v>3576184.042396561</v>
      </c>
      <c r="Q67" s="15">
        <f t="shared" si="4"/>
        <v>3137906.2668735106</v>
      </c>
    </row>
    <row r="68" spans="10:17" ht="12.75">
      <c r="J68" s="58">
        <v>1573</v>
      </c>
      <c r="K68" s="59" t="s">
        <v>119</v>
      </c>
      <c r="L68" s="37">
        <v>5581.36289055973</v>
      </c>
      <c r="M68" s="37">
        <v>800</v>
      </c>
      <c r="N68" s="37">
        <v>76</v>
      </c>
      <c r="O68" s="15">
        <f t="shared" si="5"/>
        <v>7576.661106772374</v>
      </c>
      <c r="P68" s="15">
        <f t="shared" si="3"/>
        <v>6061328.885417899</v>
      </c>
      <c r="Q68" s="15">
        <f t="shared" si="4"/>
        <v>4465090.312447784</v>
      </c>
    </row>
    <row r="69" spans="10:17" ht="12.75">
      <c r="J69" s="58">
        <v>1582</v>
      </c>
      <c r="K69" s="59" t="s">
        <v>119</v>
      </c>
      <c r="L69" s="37">
        <v>6273.22698816924</v>
      </c>
      <c r="M69" s="37">
        <v>505</v>
      </c>
      <c r="N69" s="37">
        <v>47</v>
      </c>
      <c r="O69" s="15">
        <f t="shared" si="5"/>
        <v>7576.661106772374</v>
      </c>
      <c r="P69" s="15">
        <f t="shared" si="3"/>
        <v>3826213.858920049</v>
      </c>
      <c r="Q69" s="15">
        <f t="shared" si="4"/>
        <v>3167979.6290254663</v>
      </c>
    </row>
    <row r="70" spans="10:17" ht="12.75">
      <c r="J70" s="58">
        <v>1584</v>
      </c>
      <c r="K70" s="59" t="s">
        <v>119</v>
      </c>
      <c r="L70" s="37">
        <v>6306.42772198106</v>
      </c>
      <c r="M70" s="37">
        <v>415</v>
      </c>
      <c r="N70" s="37">
        <v>57</v>
      </c>
      <c r="O70" s="15">
        <f t="shared" si="5"/>
        <v>7576.661106772374</v>
      </c>
      <c r="P70" s="15">
        <f t="shared" si="3"/>
        <v>3144314.3593105352</v>
      </c>
      <c r="Q70" s="15">
        <f t="shared" si="4"/>
        <v>2617167.50462214</v>
      </c>
    </row>
    <row r="71" spans="10:17" ht="12.75">
      <c r="J71" s="58">
        <v>1585</v>
      </c>
      <c r="K71" s="59" t="s">
        <v>119</v>
      </c>
      <c r="L71" s="37">
        <v>6306.42772198106</v>
      </c>
      <c r="M71" s="37">
        <v>481</v>
      </c>
      <c r="N71" s="37">
        <v>32</v>
      </c>
      <c r="O71" s="15">
        <f t="shared" si="5"/>
        <v>7576.661106772374</v>
      </c>
      <c r="P71" s="15">
        <f t="shared" si="3"/>
        <v>3644373.992357512</v>
      </c>
      <c r="Q71" s="15">
        <f t="shared" si="4"/>
        <v>3033391.73427289</v>
      </c>
    </row>
    <row r="72" spans="10:17" ht="12.75">
      <c r="J72" s="58">
        <v>1597</v>
      </c>
      <c r="K72" s="59" t="s">
        <v>119</v>
      </c>
      <c r="L72" s="37">
        <v>6306.42772198106</v>
      </c>
      <c r="M72" s="37">
        <v>410</v>
      </c>
      <c r="N72" s="37">
        <v>47</v>
      </c>
      <c r="O72" s="15">
        <f t="shared" si="5"/>
        <v>7576.661106772374</v>
      </c>
      <c r="P72" s="15">
        <f t="shared" si="3"/>
        <v>3106431.0537766735</v>
      </c>
      <c r="Q72" s="15">
        <f t="shared" si="4"/>
        <v>2585635.3660122347</v>
      </c>
    </row>
    <row r="73" spans="10:17" ht="12.75">
      <c r="J73" s="58">
        <v>1624</v>
      </c>
      <c r="K73" s="59" t="s">
        <v>119</v>
      </c>
      <c r="L73" s="37">
        <v>5885.1505715433</v>
      </c>
      <c r="M73" s="37">
        <v>432</v>
      </c>
      <c r="N73" s="37">
        <v>42</v>
      </c>
      <c r="O73" s="15">
        <f t="shared" si="5"/>
        <v>7576.661106772374</v>
      </c>
      <c r="P73" s="15">
        <f t="shared" si="3"/>
        <v>3273117.598125666</v>
      </c>
      <c r="Q73" s="15">
        <f t="shared" si="4"/>
        <v>2542385.046906706</v>
      </c>
    </row>
    <row r="74" spans="10:17" ht="12.75">
      <c r="J74" s="58">
        <v>1636</v>
      </c>
      <c r="K74" s="59" t="s">
        <v>119</v>
      </c>
      <c r="L74" s="37">
        <v>6132.81431447747</v>
      </c>
      <c r="M74" s="37">
        <v>372</v>
      </c>
      <c r="N74" s="37">
        <v>18</v>
      </c>
      <c r="O74" s="15">
        <f t="shared" si="5"/>
        <v>7576.661106772374</v>
      </c>
      <c r="P74" s="15">
        <f t="shared" si="3"/>
        <v>2818517.931719323</v>
      </c>
      <c r="Q74" s="15">
        <f t="shared" si="4"/>
        <v>2281406.924985619</v>
      </c>
    </row>
    <row r="75" spans="10:17" ht="12.75">
      <c r="J75" s="58">
        <v>1638</v>
      </c>
      <c r="K75" s="59" t="s">
        <v>119</v>
      </c>
      <c r="L75" s="37">
        <v>6306.42772198106</v>
      </c>
      <c r="M75" s="37">
        <v>463</v>
      </c>
      <c r="N75" s="37">
        <v>32</v>
      </c>
      <c r="O75" s="15">
        <f t="shared" si="5"/>
        <v>7576.661106772374</v>
      </c>
      <c r="P75" s="15">
        <f t="shared" si="3"/>
        <v>3507994.092435609</v>
      </c>
      <c r="Q75" s="15">
        <f t="shared" si="4"/>
        <v>2919876.0352772307</v>
      </c>
    </row>
    <row r="76" spans="10:17" ht="12.75">
      <c r="J76" s="58">
        <v>1639</v>
      </c>
      <c r="K76" s="59" t="s">
        <v>119</v>
      </c>
      <c r="L76" s="37">
        <v>6306.42772198106</v>
      </c>
      <c r="M76" s="37">
        <v>505</v>
      </c>
      <c r="N76" s="37">
        <v>64</v>
      </c>
      <c r="O76" s="15">
        <f t="shared" si="5"/>
        <v>7576.661106772374</v>
      </c>
      <c r="P76" s="15">
        <f t="shared" si="3"/>
        <v>3826213.858920049</v>
      </c>
      <c r="Q76" s="15">
        <f t="shared" si="4"/>
        <v>3184745.999600435</v>
      </c>
    </row>
    <row r="77" spans="10:17" ht="12.75">
      <c r="J77" s="58">
        <v>1642</v>
      </c>
      <c r="K77" s="59" t="s">
        <v>119</v>
      </c>
      <c r="L77" s="37">
        <v>5713.60976349302</v>
      </c>
      <c r="M77" s="37">
        <v>487</v>
      </c>
      <c r="N77" s="37">
        <v>51</v>
      </c>
      <c r="O77" s="15">
        <f t="shared" si="5"/>
        <v>7576.661106772374</v>
      </c>
      <c r="P77" s="15">
        <f t="shared" si="3"/>
        <v>3689833.9589981465</v>
      </c>
      <c r="Q77" s="15">
        <f t="shared" si="4"/>
        <v>2782527.954821101</v>
      </c>
    </row>
    <row r="78" spans="10:17" ht="12.75">
      <c r="J78" s="58">
        <v>1812</v>
      </c>
      <c r="K78" s="59" t="s">
        <v>119</v>
      </c>
      <c r="L78" s="37">
        <v>5396.62290948276</v>
      </c>
      <c r="M78" s="37">
        <v>471</v>
      </c>
      <c r="N78" s="37">
        <v>27</v>
      </c>
      <c r="O78" s="15">
        <f t="shared" si="5"/>
        <v>7576.661106772374</v>
      </c>
      <c r="P78" s="15">
        <f t="shared" si="3"/>
        <v>3568607.3812897885</v>
      </c>
      <c r="Q78" s="15">
        <f t="shared" si="4"/>
        <v>2541809.39036638</v>
      </c>
    </row>
    <row r="79" spans="10:17" ht="12.75">
      <c r="J79" s="58">
        <v>1813</v>
      </c>
      <c r="K79" s="59" t="s">
        <v>119</v>
      </c>
      <c r="L79" s="37">
        <v>6662.84463933415</v>
      </c>
      <c r="M79" s="37">
        <v>480</v>
      </c>
      <c r="N79" s="37">
        <v>55</v>
      </c>
      <c r="O79" s="15">
        <f t="shared" si="5"/>
        <v>7576.661106772374</v>
      </c>
      <c r="P79" s="15">
        <f t="shared" si="3"/>
        <v>3636797.3312507397</v>
      </c>
      <c r="Q79" s="15">
        <f t="shared" si="4"/>
        <v>3198165.4268803922</v>
      </c>
    </row>
    <row r="80" spans="10:17" ht="12.75">
      <c r="J80" s="58">
        <v>1819</v>
      </c>
      <c r="K80" s="59" t="s">
        <v>119</v>
      </c>
      <c r="L80" s="37">
        <v>6627.79152968478</v>
      </c>
      <c r="M80" s="37">
        <v>505</v>
      </c>
      <c r="N80" s="37">
        <v>59</v>
      </c>
      <c r="O80" s="15">
        <f t="shared" si="5"/>
        <v>7576.661106772374</v>
      </c>
      <c r="P80" s="15">
        <f t="shared" si="3"/>
        <v>3826213.858920049</v>
      </c>
      <c r="Q80" s="15">
        <f t="shared" si="4"/>
        <v>3347034.7224908136</v>
      </c>
    </row>
    <row r="81" spans="10:17" ht="12.75">
      <c r="J81" s="58">
        <v>1833</v>
      </c>
      <c r="K81" s="59" t="s">
        <v>119</v>
      </c>
      <c r="L81" s="37">
        <v>5396.62290948276</v>
      </c>
      <c r="M81" s="37">
        <v>491</v>
      </c>
      <c r="N81" s="37">
        <v>31</v>
      </c>
      <c r="O81" s="15">
        <f t="shared" si="5"/>
        <v>7576.661106772374</v>
      </c>
      <c r="P81" s="15">
        <f t="shared" si="3"/>
        <v>3720140.603425236</v>
      </c>
      <c r="Q81" s="15">
        <f t="shared" si="4"/>
        <v>2649741.848556035</v>
      </c>
    </row>
    <row r="82" spans="13:16" ht="12.75">
      <c r="M82" s="15">
        <f>SUM(M2:M81)</f>
        <v>32561</v>
      </c>
      <c r="N82" s="15">
        <f>SUM(N2:N81)</f>
        <v>3446</v>
      </c>
      <c r="P82" s="15">
        <f>SUM(P2:P81)</f>
        <v>246703662.29761526</v>
      </c>
    </row>
    <row r="83" spans="11:16" ht="12.75">
      <c r="K83" s="105" t="s">
        <v>140</v>
      </c>
      <c r="L83" s="106"/>
      <c r="M83" s="107"/>
      <c r="N83" s="15">
        <v>1091.1545195718747</v>
      </c>
      <c r="P83" s="15">
        <f>P82+N86</f>
        <v>286606121.7368042</v>
      </c>
    </row>
    <row r="84" spans="11:14" ht="12.75">
      <c r="K84" s="105" t="s">
        <v>141</v>
      </c>
      <c r="L84" s="106"/>
      <c r="M84" s="107"/>
      <c r="N84" s="15">
        <v>10488.201092496873</v>
      </c>
    </row>
    <row r="85" spans="11:14" ht="12.75">
      <c r="K85" s="105" t="s">
        <v>142</v>
      </c>
      <c r="L85" s="106"/>
      <c r="M85" s="107"/>
      <c r="N85" s="15">
        <f>SUM(N83:N84)</f>
        <v>11579.355612068748</v>
      </c>
    </row>
    <row r="86" spans="11:14" ht="12.75">
      <c r="K86" s="105" t="s">
        <v>143</v>
      </c>
      <c r="L86" s="106"/>
      <c r="M86" s="107"/>
      <c r="N86" s="37">
        <f>N82*N85</f>
        <v>39902459.439188905</v>
      </c>
    </row>
  </sheetData>
  <mergeCells count="4">
    <mergeCell ref="K83:M83"/>
    <mergeCell ref="K84:M84"/>
    <mergeCell ref="K85:M85"/>
    <mergeCell ref="K86:M86"/>
  </mergeCells>
  <printOptions gridLines="1"/>
  <pageMargins left="0.75" right="0.75" top="1" bottom="1" header="0.5" footer="0.5"/>
  <pageSetup fitToHeight="1" fitToWidth="1" horizontalDpi="300" verticalDpi="3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I42" sqref="I42"/>
    </sheetView>
  </sheetViews>
  <sheetFormatPr defaultColWidth="9.140625" defaultRowHeight="12.75"/>
  <cols>
    <col min="1" max="1" width="20.140625" style="0" customWidth="1"/>
    <col min="3" max="3" width="10.28125" style="15" bestFit="1" customWidth="1"/>
    <col min="4" max="4" width="12.8515625" style="15" bestFit="1" customWidth="1"/>
    <col min="9" max="9" width="10.7109375" style="0" customWidth="1"/>
    <col min="11" max="11" width="10.421875" style="0" customWidth="1"/>
    <col min="12" max="12" width="9.28125" style="15" bestFit="1" customWidth="1"/>
    <col min="13" max="13" width="10.28125" style="15" bestFit="1" customWidth="1"/>
    <col min="14" max="14" width="14.00390625" style="15" bestFit="1" customWidth="1"/>
    <col min="15" max="15" width="9.28125" style="15" bestFit="1" customWidth="1"/>
    <col min="16" max="16" width="15.00390625" style="15" bestFit="1" customWidth="1"/>
    <col min="17" max="17" width="12.8515625" style="15" bestFit="1" customWidth="1"/>
  </cols>
  <sheetData>
    <row r="1" spans="1:18" ht="40.5">
      <c r="A1" s="1" t="s">
        <v>39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49</v>
      </c>
      <c r="J2" s="60">
        <v>136</v>
      </c>
      <c r="K2" s="61" t="s">
        <v>121</v>
      </c>
      <c r="L2" s="37">
        <v>5885.1505715433</v>
      </c>
      <c r="M2" s="37">
        <v>935</v>
      </c>
      <c r="N2" s="37">
        <v>72</v>
      </c>
      <c r="O2" s="15">
        <f>+$D$56</f>
        <v>7931.311614815785</v>
      </c>
      <c r="P2" s="15">
        <f aca="true" t="shared" si="0" ref="P2:P35">M2*O2</f>
        <v>7415776.359852759</v>
      </c>
      <c r="Q2" s="15">
        <f aca="true" t="shared" si="1" ref="Q2:Q35">L2*M2</f>
        <v>5502615.7843929855</v>
      </c>
    </row>
    <row r="3" spans="1:17" ht="12.75">
      <c r="A3" t="s">
        <v>56</v>
      </c>
      <c r="B3">
        <f>COUNT(M2:M35)</f>
        <v>34</v>
      </c>
      <c r="G3" t="s">
        <v>9</v>
      </c>
      <c r="J3" s="60">
        <v>238</v>
      </c>
      <c r="K3" s="61" t="s">
        <v>120</v>
      </c>
      <c r="L3" s="37">
        <v>6004.59184560781</v>
      </c>
      <c r="M3" s="37">
        <v>299</v>
      </c>
      <c r="N3" s="37">
        <v>9</v>
      </c>
      <c r="O3" s="15">
        <f aca="true" t="shared" si="2" ref="O3:O35">+$D$56</f>
        <v>7931.311614815785</v>
      </c>
      <c r="P3" s="15">
        <f t="shared" si="0"/>
        <v>2371462.17282992</v>
      </c>
      <c r="Q3" s="15">
        <f t="shared" si="1"/>
        <v>1795372.961836735</v>
      </c>
    </row>
    <row r="4" spans="10:17" ht="12.75">
      <c r="J4" s="60">
        <v>419</v>
      </c>
      <c r="K4" s="61" t="s">
        <v>120</v>
      </c>
      <c r="L4" s="37">
        <v>6648.10649761337</v>
      </c>
      <c r="M4" s="37">
        <v>448</v>
      </c>
      <c r="N4" s="37">
        <v>48</v>
      </c>
      <c r="O4" s="15">
        <f t="shared" si="2"/>
        <v>7931.311614815785</v>
      </c>
      <c r="P4" s="15">
        <f t="shared" si="0"/>
        <v>3553227.6034374717</v>
      </c>
      <c r="Q4" s="15">
        <f t="shared" si="1"/>
        <v>2978351.71093079</v>
      </c>
    </row>
    <row r="5" spans="1:17" ht="12.75">
      <c r="A5" t="s">
        <v>5</v>
      </c>
      <c r="B5">
        <v>503</v>
      </c>
      <c r="G5">
        <v>630</v>
      </c>
      <c r="J5" s="60">
        <v>704</v>
      </c>
      <c r="K5" s="61" t="s">
        <v>121</v>
      </c>
      <c r="L5" s="37">
        <v>7174.16209410206</v>
      </c>
      <c r="M5" s="37">
        <v>475</v>
      </c>
      <c r="N5" s="37">
        <v>80</v>
      </c>
      <c r="O5" s="15">
        <f t="shared" si="2"/>
        <v>7931.311614815785</v>
      </c>
      <c r="P5" s="15">
        <f t="shared" si="0"/>
        <v>3767373.017037498</v>
      </c>
      <c r="Q5" s="15">
        <f t="shared" si="1"/>
        <v>3407726.9946984784</v>
      </c>
    </row>
    <row r="6" spans="1:17" ht="12.75">
      <c r="A6" t="s">
        <v>6</v>
      </c>
      <c r="B6" s="3">
        <f>B5*E6</f>
        <v>175.547</v>
      </c>
      <c r="E6" s="4">
        <v>0.349</v>
      </c>
      <c r="G6">
        <v>151</v>
      </c>
      <c r="H6" s="4">
        <v>0.2396825396825397</v>
      </c>
      <c r="J6" s="60">
        <v>779</v>
      </c>
      <c r="K6" s="61" t="s">
        <v>121</v>
      </c>
      <c r="L6" s="37">
        <v>6627.79152968478</v>
      </c>
      <c r="M6" s="37">
        <v>599</v>
      </c>
      <c r="N6" s="37">
        <v>102</v>
      </c>
      <c r="O6" s="15">
        <f t="shared" si="2"/>
        <v>7931.311614815785</v>
      </c>
      <c r="P6" s="15">
        <f t="shared" si="0"/>
        <v>4750855.657274655</v>
      </c>
      <c r="Q6" s="15">
        <f t="shared" si="1"/>
        <v>3970047.1262811827</v>
      </c>
    </row>
    <row r="7" spans="1:17" ht="12.75">
      <c r="A7" t="s">
        <v>7</v>
      </c>
      <c r="B7" s="3">
        <f>B5*E7</f>
        <v>51.306</v>
      </c>
      <c r="E7" s="4">
        <v>0.102</v>
      </c>
      <c r="G7">
        <v>32</v>
      </c>
      <c r="H7" s="4">
        <v>0.050793650793650794</v>
      </c>
      <c r="J7" s="60">
        <v>785</v>
      </c>
      <c r="K7" s="61" t="s">
        <v>121</v>
      </c>
      <c r="L7" s="37">
        <v>6627.79152968478</v>
      </c>
      <c r="M7" s="37">
        <v>338</v>
      </c>
      <c r="N7" s="37">
        <v>18</v>
      </c>
      <c r="O7" s="15">
        <f t="shared" si="2"/>
        <v>7931.311614815785</v>
      </c>
      <c r="P7" s="15">
        <f t="shared" si="0"/>
        <v>2680783.3258077353</v>
      </c>
      <c r="Q7" s="15">
        <f t="shared" si="1"/>
        <v>2240193.5370334554</v>
      </c>
    </row>
    <row r="8" spans="1:17" ht="12.75">
      <c r="A8" t="s">
        <v>8</v>
      </c>
      <c r="B8" s="3">
        <f>B5*E8</f>
        <v>62.875</v>
      </c>
      <c r="E8" s="4">
        <v>0.125</v>
      </c>
      <c r="G8">
        <v>76</v>
      </c>
      <c r="H8" s="4">
        <v>0.12063492063492064</v>
      </c>
      <c r="J8" s="60">
        <v>1427</v>
      </c>
      <c r="K8" s="61" t="s">
        <v>121</v>
      </c>
      <c r="L8" s="37">
        <v>6241.8061627907</v>
      </c>
      <c r="M8" s="37">
        <v>377</v>
      </c>
      <c r="N8" s="37">
        <v>34</v>
      </c>
      <c r="O8" s="15">
        <f t="shared" si="2"/>
        <v>7931.311614815785</v>
      </c>
      <c r="P8" s="15">
        <f t="shared" si="0"/>
        <v>2990104.478785551</v>
      </c>
      <c r="Q8" s="15">
        <f t="shared" si="1"/>
        <v>2353160.923372094</v>
      </c>
    </row>
    <row r="9" spans="5:17" ht="12.75">
      <c r="E9" s="4"/>
      <c r="J9" s="60">
        <v>1451</v>
      </c>
      <c r="K9" s="61" t="s">
        <v>121</v>
      </c>
      <c r="L9" s="37">
        <v>6085.85235071807</v>
      </c>
      <c r="M9" s="37">
        <v>451</v>
      </c>
      <c r="N9" s="37">
        <v>76</v>
      </c>
      <c r="O9" s="15">
        <f t="shared" si="2"/>
        <v>7931.311614815785</v>
      </c>
      <c r="P9" s="15">
        <f t="shared" si="0"/>
        <v>3577021.538281919</v>
      </c>
      <c r="Q9" s="15">
        <f t="shared" si="1"/>
        <v>2744719.4101738497</v>
      </c>
    </row>
    <row r="10" spans="1:17" ht="12.75">
      <c r="A10" t="s">
        <v>18</v>
      </c>
      <c r="B10">
        <v>32</v>
      </c>
      <c r="C10" s="15">
        <v>42914.98927153859</v>
      </c>
      <c r="D10" s="15">
        <f>B10*C10</f>
        <v>1373279.6566892348</v>
      </c>
      <c r="E10" s="3">
        <f>B$5/B10</f>
        <v>15.71875</v>
      </c>
      <c r="J10" s="60">
        <v>1463</v>
      </c>
      <c r="K10" s="61" t="s">
        <v>121</v>
      </c>
      <c r="L10" s="37">
        <v>6662.84463933415</v>
      </c>
      <c r="M10" s="37">
        <v>549</v>
      </c>
      <c r="N10" s="37">
        <v>68</v>
      </c>
      <c r="O10" s="15">
        <f t="shared" si="2"/>
        <v>7931.311614815785</v>
      </c>
      <c r="P10" s="15">
        <f t="shared" si="0"/>
        <v>4354290.076533866</v>
      </c>
      <c r="Q10" s="15">
        <f t="shared" si="1"/>
        <v>3657901.7069944483</v>
      </c>
    </row>
    <row r="11" spans="1:17" ht="12.75">
      <c r="A11" t="s">
        <v>15</v>
      </c>
      <c r="G11">
        <v>25</v>
      </c>
      <c r="H11" s="5">
        <v>25.2</v>
      </c>
      <c r="J11" s="60">
        <v>1486</v>
      </c>
      <c r="K11" s="61" t="s">
        <v>121</v>
      </c>
      <c r="L11" s="37">
        <v>6627.79152968478</v>
      </c>
      <c r="M11" s="37">
        <v>553</v>
      </c>
      <c r="N11" s="37">
        <v>109</v>
      </c>
      <c r="O11" s="15">
        <f t="shared" si="2"/>
        <v>7931.311614815785</v>
      </c>
      <c r="P11" s="15">
        <f t="shared" si="0"/>
        <v>4386015.3229931295</v>
      </c>
      <c r="Q11" s="15">
        <f t="shared" si="1"/>
        <v>3665168.715915683</v>
      </c>
    </row>
    <row r="12" spans="1:17" ht="12.75">
      <c r="A12" t="s">
        <v>16</v>
      </c>
      <c r="B12">
        <v>8</v>
      </c>
      <c r="C12" s="15">
        <v>42914.98927153859</v>
      </c>
      <c r="D12" s="15">
        <f>B12*C12</f>
        <v>343319.9141723087</v>
      </c>
      <c r="E12" s="3">
        <f>B$5/B12</f>
        <v>62.875</v>
      </c>
      <c r="G12">
        <v>10</v>
      </c>
      <c r="H12" s="5">
        <v>63</v>
      </c>
      <c r="J12" s="60">
        <v>1490</v>
      </c>
      <c r="K12" s="61" t="s">
        <v>121</v>
      </c>
      <c r="L12" s="37">
        <v>7036.036</v>
      </c>
      <c r="M12" s="37">
        <v>335</v>
      </c>
      <c r="N12" s="37">
        <v>56</v>
      </c>
      <c r="O12" s="15">
        <f t="shared" si="2"/>
        <v>7931.311614815785</v>
      </c>
      <c r="P12" s="15">
        <f t="shared" si="0"/>
        <v>2656989.390963288</v>
      </c>
      <c r="Q12" s="15">
        <f t="shared" si="1"/>
        <v>2357072.06</v>
      </c>
    </row>
    <row r="13" spans="5:17" ht="12.75">
      <c r="E13" s="3"/>
      <c r="G13">
        <v>25</v>
      </c>
      <c r="H13">
        <f>G5/G13</f>
        <v>25.2</v>
      </c>
      <c r="J13" s="60">
        <v>1491</v>
      </c>
      <c r="K13" s="61" t="s">
        <v>121</v>
      </c>
      <c r="L13" s="37">
        <v>6627.79152968478</v>
      </c>
      <c r="M13" s="37">
        <v>475</v>
      </c>
      <c r="N13" s="37">
        <v>73</v>
      </c>
      <c r="O13" s="15">
        <f t="shared" si="2"/>
        <v>7931.311614815785</v>
      </c>
      <c r="P13" s="15">
        <f t="shared" si="0"/>
        <v>3767373.017037498</v>
      </c>
      <c r="Q13" s="15">
        <f t="shared" si="1"/>
        <v>3148200.9766002703</v>
      </c>
    </row>
    <row r="14" spans="8:17" ht="12.75">
      <c r="H14" s="5"/>
      <c r="J14" s="60">
        <v>1498</v>
      </c>
      <c r="K14" s="61" t="s">
        <v>120</v>
      </c>
      <c r="L14" s="37">
        <v>7565.84328264759</v>
      </c>
      <c r="M14" s="37">
        <v>259</v>
      </c>
      <c r="N14" s="37">
        <v>26</v>
      </c>
      <c r="O14" s="15">
        <f t="shared" si="2"/>
        <v>7931.311614815785</v>
      </c>
      <c r="P14" s="15">
        <f t="shared" si="0"/>
        <v>2054209.7082372883</v>
      </c>
      <c r="Q14" s="15">
        <f t="shared" si="1"/>
        <v>1959553.4102057258</v>
      </c>
    </row>
    <row r="15" spans="1:17" ht="12.75">
      <c r="A15" t="s">
        <v>17</v>
      </c>
      <c r="B15">
        <v>6</v>
      </c>
      <c r="C15" s="15">
        <v>20738.494724169057</v>
      </c>
      <c r="D15" s="15">
        <f>B15*C15</f>
        <v>124430.96834501435</v>
      </c>
      <c r="E15" s="3">
        <f>B$5/B15</f>
        <v>83.83333333333333</v>
      </c>
      <c r="G15">
        <v>6</v>
      </c>
      <c r="H15" s="5">
        <v>105</v>
      </c>
      <c r="J15" s="60">
        <v>1509</v>
      </c>
      <c r="K15" s="61" t="s">
        <v>126</v>
      </c>
      <c r="L15" s="37">
        <v>6495.90847343378</v>
      </c>
      <c r="M15" s="37">
        <v>321</v>
      </c>
      <c r="N15" s="37">
        <v>30</v>
      </c>
      <c r="O15" s="15">
        <f t="shared" si="2"/>
        <v>7931.311614815785</v>
      </c>
      <c r="P15" s="15">
        <f t="shared" si="0"/>
        <v>2545951.028355867</v>
      </c>
      <c r="Q15" s="15">
        <f t="shared" si="1"/>
        <v>2085186.6199722434</v>
      </c>
    </row>
    <row r="16" spans="8:17" ht="12.75">
      <c r="H16" s="5"/>
      <c r="J16" s="60">
        <v>1510</v>
      </c>
      <c r="K16" s="61" t="s">
        <v>126</v>
      </c>
      <c r="L16" s="37">
        <v>6238.4343486974</v>
      </c>
      <c r="M16" s="37">
        <v>620</v>
      </c>
      <c r="N16" s="37">
        <v>29</v>
      </c>
      <c r="O16" s="15">
        <f t="shared" si="2"/>
        <v>7931.311614815785</v>
      </c>
      <c r="P16" s="15">
        <f t="shared" si="0"/>
        <v>4917413.201185787</v>
      </c>
      <c r="Q16" s="15">
        <f t="shared" si="1"/>
        <v>3867829.296192388</v>
      </c>
    </row>
    <row r="17" spans="1:17" ht="12.75">
      <c r="A17" t="s">
        <v>19</v>
      </c>
      <c r="B17">
        <v>5</v>
      </c>
      <c r="C17" s="15">
        <v>42914.98927153859</v>
      </c>
      <c r="D17" s="15">
        <f>B17*C17</f>
        <v>214574.94635769294</v>
      </c>
      <c r="E17" s="3">
        <f>B$8/B17</f>
        <v>12.575</v>
      </c>
      <c r="G17">
        <v>5</v>
      </c>
      <c r="H17" s="5">
        <v>15.2</v>
      </c>
      <c r="J17" s="60">
        <v>1558</v>
      </c>
      <c r="K17" s="61" t="s">
        <v>120</v>
      </c>
      <c r="L17" s="37">
        <v>5826.18942877802</v>
      </c>
      <c r="M17" s="37">
        <v>266</v>
      </c>
      <c r="N17" s="37">
        <v>26</v>
      </c>
      <c r="O17" s="15">
        <f t="shared" si="2"/>
        <v>7931.311614815785</v>
      </c>
      <c r="P17" s="15">
        <f t="shared" si="0"/>
        <v>2109728.8895409987</v>
      </c>
      <c r="Q17" s="15">
        <f t="shared" si="1"/>
        <v>1549766.3880549532</v>
      </c>
    </row>
    <row r="18" spans="1:17" ht="12.75">
      <c r="A18" t="s">
        <v>16</v>
      </c>
      <c r="G18">
        <v>1.28</v>
      </c>
      <c r="H18" s="5">
        <v>59.375</v>
      </c>
      <c r="J18" s="60">
        <v>1575</v>
      </c>
      <c r="K18" s="61" t="s">
        <v>121</v>
      </c>
      <c r="L18" s="37">
        <v>5396.62290948276</v>
      </c>
      <c r="M18" s="37">
        <v>387</v>
      </c>
      <c r="N18" s="37">
        <v>29</v>
      </c>
      <c r="O18" s="15">
        <f t="shared" si="2"/>
        <v>7931.311614815785</v>
      </c>
      <c r="P18" s="15">
        <f t="shared" si="0"/>
        <v>3069417.5949337087</v>
      </c>
      <c r="Q18" s="15">
        <f t="shared" si="1"/>
        <v>2088493.0659698283</v>
      </c>
    </row>
    <row r="19" spans="1:17" ht="12.75">
      <c r="A19" t="s">
        <v>17</v>
      </c>
      <c r="B19">
        <v>6</v>
      </c>
      <c r="C19" s="15">
        <v>20738.494724169057</v>
      </c>
      <c r="D19" s="15">
        <f>B19*C19</f>
        <v>124430.96834501435</v>
      </c>
      <c r="E19" s="3">
        <f>B$8/B19</f>
        <v>10.479166666666666</v>
      </c>
      <c r="G19">
        <v>7</v>
      </c>
      <c r="H19" s="5">
        <v>10.857142857142858</v>
      </c>
      <c r="J19" s="60">
        <v>1593</v>
      </c>
      <c r="K19" s="61" t="s">
        <v>126</v>
      </c>
      <c r="L19" s="37">
        <v>6495.90847343378</v>
      </c>
      <c r="M19" s="37">
        <v>342</v>
      </c>
      <c r="N19" s="37">
        <v>31</v>
      </c>
      <c r="O19" s="15">
        <f t="shared" si="2"/>
        <v>7931.311614815785</v>
      </c>
      <c r="P19" s="15">
        <f t="shared" si="0"/>
        <v>2712508.5722669987</v>
      </c>
      <c r="Q19" s="15">
        <f t="shared" si="1"/>
        <v>2221600.6979143526</v>
      </c>
    </row>
    <row r="20" spans="8:17" ht="12.75">
      <c r="H20" s="5"/>
      <c r="J20" s="60">
        <v>1598</v>
      </c>
      <c r="K20" s="61" t="s">
        <v>120</v>
      </c>
      <c r="L20" s="37">
        <v>6598.1423909396</v>
      </c>
      <c r="M20" s="37">
        <v>333</v>
      </c>
      <c r="N20" s="37">
        <v>14</v>
      </c>
      <c r="O20" s="15">
        <f t="shared" si="2"/>
        <v>7931.311614815785</v>
      </c>
      <c r="P20" s="15">
        <f t="shared" si="0"/>
        <v>2641126.7677336563</v>
      </c>
      <c r="Q20" s="15">
        <f t="shared" si="1"/>
        <v>2197181.416182887</v>
      </c>
    </row>
    <row r="21" spans="8:17" ht="12.75">
      <c r="H21" s="5"/>
      <c r="J21" s="60">
        <v>1614</v>
      </c>
      <c r="K21" s="61" t="s">
        <v>121</v>
      </c>
      <c r="L21" s="37">
        <v>6273.22698816924</v>
      </c>
      <c r="M21" s="37">
        <v>753</v>
      </c>
      <c r="N21" s="37">
        <v>107</v>
      </c>
      <c r="O21" s="15">
        <f t="shared" si="2"/>
        <v>7931.311614815785</v>
      </c>
      <c r="P21" s="15">
        <f t="shared" si="0"/>
        <v>5972277.645956286</v>
      </c>
      <c r="Q21" s="15">
        <f t="shared" si="1"/>
        <v>4723739.9220914375</v>
      </c>
    </row>
    <row r="22" spans="1:17" ht="12.75">
      <c r="A22" t="s">
        <v>20</v>
      </c>
      <c r="H22" s="5"/>
      <c r="J22" s="60">
        <v>1615</v>
      </c>
      <c r="K22" s="61" t="s">
        <v>121</v>
      </c>
      <c r="L22" s="37">
        <v>6273.22698816924</v>
      </c>
      <c r="M22" s="37">
        <v>994</v>
      </c>
      <c r="N22" s="37">
        <v>138</v>
      </c>
      <c r="O22" s="15">
        <f t="shared" si="2"/>
        <v>7931.311614815785</v>
      </c>
      <c r="P22" s="15">
        <f t="shared" si="0"/>
        <v>7883723.74512689</v>
      </c>
      <c r="Q22" s="15">
        <f t="shared" si="1"/>
        <v>6235587.626240225</v>
      </c>
    </row>
    <row r="23" spans="1:17" ht="12.75">
      <c r="A23" t="s">
        <v>11</v>
      </c>
      <c r="B23">
        <v>3</v>
      </c>
      <c r="C23" s="15">
        <v>46319.211226175925</v>
      </c>
      <c r="D23" s="15">
        <f>B23*C23</f>
        <v>138957.63367852778</v>
      </c>
      <c r="E23" s="3">
        <f>B$5/B23</f>
        <v>167.66666666666666</v>
      </c>
      <c r="G23">
        <v>2</v>
      </c>
      <c r="H23" s="5">
        <v>315</v>
      </c>
      <c r="J23" s="60">
        <v>1620</v>
      </c>
      <c r="K23" s="61" t="s">
        <v>121</v>
      </c>
      <c r="L23" s="37">
        <v>5794.05366209262</v>
      </c>
      <c r="M23" s="37">
        <v>393</v>
      </c>
      <c r="N23" s="37">
        <v>79</v>
      </c>
      <c r="O23" s="15">
        <f t="shared" si="2"/>
        <v>7931.311614815785</v>
      </c>
      <c r="P23" s="15">
        <f t="shared" si="0"/>
        <v>3117005.4646226037</v>
      </c>
      <c r="Q23" s="15">
        <f t="shared" si="1"/>
        <v>2277063.0892023994</v>
      </c>
    </row>
    <row r="24" spans="1:17" ht="12.75">
      <c r="A24" t="s">
        <v>58</v>
      </c>
      <c r="B24">
        <v>0.5</v>
      </c>
      <c r="C24" s="15">
        <v>37487.41846994718</v>
      </c>
      <c r="D24" s="15">
        <f>B24*C24</f>
        <v>18743.70923497359</v>
      </c>
      <c r="E24" s="3">
        <f>B$5/B24</f>
        <v>1006</v>
      </c>
      <c r="G24">
        <v>0.32</v>
      </c>
      <c r="H24" s="5">
        <v>1968.75</v>
      </c>
      <c r="J24" s="60">
        <v>1631</v>
      </c>
      <c r="K24" s="61" t="s">
        <v>120</v>
      </c>
      <c r="L24" s="37">
        <v>6306.42772198106</v>
      </c>
      <c r="M24" s="37">
        <v>680</v>
      </c>
      <c r="N24" s="37">
        <v>94</v>
      </c>
      <c r="O24" s="15">
        <f t="shared" si="2"/>
        <v>7931.311614815785</v>
      </c>
      <c r="P24" s="15">
        <f t="shared" si="0"/>
        <v>5393291.898074734</v>
      </c>
      <c r="Q24" s="15">
        <f t="shared" si="1"/>
        <v>4288370.850947121</v>
      </c>
    </row>
    <row r="25" spans="1:17" ht="12.75">
      <c r="A25" t="s">
        <v>21</v>
      </c>
      <c r="B25">
        <v>0.25</v>
      </c>
      <c r="C25" s="15">
        <v>46396.4268055664</v>
      </c>
      <c r="D25" s="15">
        <f>B25*C25</f>
        <v>11599.1067013916</v>
      </c>
      <c r="E25" s="3">
        <f>B$5/B25</f>
        <v>2012</v>
      </c>
      <c r="G25">
        <v>0.2</v>
      </c>
      <c r="H25" s="5">
        <v>3150</v>
      </c>
      <c r="J25" s="60">
        <v>1632</v>
      </c>
      <c r="K25" s="61" t="s">
        <v>120</v>
      </c>
      <c r="L25" s="37">
        <v>6306.42772198106</v>
      </c>
      <c r="M25" s="37">
        <v>614</v>
      </c>
      <c r="N25" s="37">
        <v>78</v>
      </c>
      <c r="O25" s="15">
        <f t="shared" si="2"/>
        <v>7931.311614815785</v>
      </c>
      <c r="P25" s="15">
        <f t="shared" si="0"/>
        <v>4869825.3314968925</v>
      </c>
      <c r="Q25" s="15">
        <f t="shared" si="1"/>
        <v>3872146.621296371</v>
      </c>
    </row>
    <row r="26" spans="8:17" ht="12.75">
      <c r="H26" s="5"/>
      <c r="J26" s="60">
        <v>1633</v>
      </c>
      <c r="K26" s="61" t="s">
        <v>121</v>
      </c>
      <c r="L26" s="37">
        <v>5885.1505715433</v>
      </c>
      <c r="M26" s="37">
        <v>810</v>
      </c>
      <c r="N26" s="37">
        <v>97</v>
      </c>
      <c r="O26" s="15">
        <f t="shared" si="2"/>
        <v>7931.311614815785</v>
      </c>
      <c r="P26" s="15">
        <f t="shared" si="0"/>
        <v>6424362.408000786</v>
      </c>
      <c r="Q26" s="15">
        <f t="shared" si="1"/>
        <v>4766971.962950073</v>
      </c>
    </row>
    <row r="27" spans="8:17" ht="12.75">
      <c r="H27" s="5"/>
      <c r="J27" s="60">
        <v>1634</v>
      </c>
      <c r="K27" s="61" t="s">
        <v>121</v>
      </c>
      <c r="L27" s="37">
        <v>5885.1505715433</v>
      </c>
      <c r="M27" s="37">
        <v>840</v>
      </c>
      <c r="N27" s="37">
        <v>91</v>
      </c>
      <c r="O27" s="15">
        <f t="shared" si="2"/>
        <v>7931.311614815785</v>
      </c>
      <c r="P27" s="15">
        <f t="shared" si="0"/>
        <v>6662301.75644526</v>
      </c>
      <c r="Q27" s="15">
        <f t="shared" si="1"/>
        <v>4943526.480096373</v>
      </c>
    </row>
    <row r="28" spans="1:17" ht="12.75">
      <c r="A28" t="s">
        <v>19</v>
      </c>
      <c r="H28" s="5"/>
      <c r="J28" s="60">
        <v>1641</v>
      </c>
      <c r="K28" s="61" t="s">
        <v>121</v>
      </c>
      <c r="L28" s="37">
        <v>5713.60976349302</v>
      </c>
      <c r="M28" s="37">
        <v>794</v>
      </c>
      <c r="N28" s="37">
        <v>104</v>
      </c>
      <c r="O28" s="15">
        <f t="shared" si="2"/>
        <v>7931.311614815785</v>
      </c>
      <c r="P28" s="15">
        <f t="shared" si="0"/>
        <v>6297461.422163733</v>
      </c>
      <c r="Q28" s="15">
        <f t="shared" si="1"/>
        <v>4536606.152213458</v>
      </c>
    </row>
    <row r="29" spans="1:17" ht="12.75">
      <c r="A29" s="6" t="s">
        <v>22</v>
      </c>
      <c r="B29">
        <v>0.5</v>
      </c>
      <c r="C29" s="15">
        <v>46396.4268055664</v>
      </c>
      <c r="D29" s="15">
        <f>B29*C29</f>
        <v>23198.2134027832</v>
      </c>
      <c r="E29" s="3">
        <f>B$8/B29</f>
        <v>125.75</v>
      </c>
      <c r="G29">
        <v>0.5</v>
      </c>
      <c r="H29" s="5">
        <v>152</v>
      </c>
      <c r="J29" s="60">
        <v>1645</v>
      </c>
      <c r="K29" s="61" t="s">
        <v>120</v>
      </c>
      <c r="L29" s="37">
        <v>6306.42772198106</v>
      </c>
      <c r="M29" s="37">
        <v>585</v>
      </c>
      <c r="N29" s="37">
        <v>112</v>
      </c>
      <c r="O29" s="15">
        <f t="shared" si="2"/>
        <v>7931.311614815785</v>
      </c>
      <c r="P29" s="15">
        <f t="shared" si="0"/>
        <v>4639817.294667235</v>
      </c>
      <c r="Q29" s="15">
        <f t="shared" si="1"/>
        <v>3689260.2173589203</v>
      </c>
    </row>
    <row r="30" spans="1:17" ht="12.75">
      <c r="A30" t="s">
        <v>58</v>
      </c>
      <c r="G30">
        <v>0.18</v>
      </c>
      <c r="H30" s="5">
        <v>422.22222222222223</v>
      </c>
      <c r="J30" s="60">
        <v>1646</v>
      </c>
      <c r="K30" s="61" t="s">
        <v>120</v>
      </c>
      <c r="L30" s="37">
        <v>6306.42772198106</v>
      </c>
      <c r="M30" s="37">
        <v>577</v>
      </c>
      <c r="N30" s="37">
        <v>49</v>
      </c>
      <c r="O30" s="15">
        <f t="shared" si="2"/>
        <v>7931.311614815785</v>
      </c>
      <c r="P30" s="15">
        <f t="shared" si="0"/>
        <v>4576366.801748708</v>
      </c>
      <c r="Q30" s="15">
        <f t="shared" si="1"/>
        <v>3638808.7955830717</v>
      </c>
    </row>
    <row r="31" spans="1:17" ht="12.75">
      <c r="A31" t="s">
        <v>85</v>
      </c>
      <c r="B31">
        <v>0.25</v>
      </c>
      <c r="C31" s="15">
        <v>48090.39947775422</v>
      </c>
      <c r="D31" s="15">
        <f>B31*C31</f>
        <v>12022.599869438554</v>
      </c>
      <c r="E31" s="3">
        <f>B$8/B31</f>
        <v>251.5</v>
      </c>
      <c r="H31" s="5"/>
      <c r="J31" s="60">
        <v>1647</v>
      </c>
      <c r="K31" s="61" t="s">
        <v>121</v>
      </c>
      <c r="L31" s="37">
        <v>5599.08519417476</v>
      </c>
      <c r="M31" s="37">
        <v>423</v>
      </c>
      <c r="N31" s="37">
        <v>70</v>
      </c>
      <c r="O31" s="15">
        <f t="shared" si="2"/>
        <v>7931.311614815785</v>
      </c>
      <c r="P31" s="15">
        <f t="shared" si="0"/>
        <v>3354944.813067077</v>
      </c>
      <c r="Q31" s="15">
        <f t="shared" si="1"/>
        <v>2368413.0371359233</v>
      </c>
    </row>
    <row r="32" spans="1:17" ht="12.75">
      <c r="A32" t="s">
        <v>86</v>
      </c>
      <c r="B32">
        <v>1</v>
      </c>
      <c r="C32" s="15">
        <v>20738.494724169057</v>
      </c>
      <c r="D32" s="15">
        <f>B32*C32</f>
        <v>20738.494724169057</v>
      </c>
      <c r="E32" s="3">
        <f>B$8/B32</f>
        <v>62.875</v>
      </c>
      <c r="H32" s="5"/>
      <c r="J32" s="60">
        <v>1685</v>
      </c>
      <c r="K32" s="61" t="s">
        <v>121</v>
      </c>
      <c r="L32" s="37">
        <v>6497.14171779141</v>
      </c>
      <c r="M32" s="37">
        <v>374</v>
      </c>
      <c r="N32" s="37">
        <v>62</v>
      </c>
      <c r="O32" s="15">
        <f t="shared" si="2"/>
        <v>7931.311614815785</v>
      </c>
      <c r="P32" s="15">
        <f t="shared" si="0"/>
        <v>2966310.543941104</v>
      </c>
      <c r="Q32" s="15">
        <f t="shared" si="1"/>
        <v>2429931.0024539875</v>
      </c>
    </row>
    <row r="33" spans="8:17" ht="12.75">
      <c r="H33" s="5"/>
      <c r="J33" s="60">
        <v>1720</v>
      </c>
      <c r="K33" s="61" t="s">
        <v>121</v>
      </c>
      <c r="L33" s="37">
        <v>6132.81431447747</v>
      </c>
      <c r="M33" s="37">
        <v>380</v>
      </c>
      <c r="N33" s="37">
        <v>45</v>
      </c>
      <c r="O33" s="15">
        <f t="shared" si="2"/>
        <v>7931.311614815785</v>
      </c>
      <c r="P33" s="15">
        <f t="shared" si="0"/>
        <v>3013898.4136299985</v>
      </c>
      <c r="Q33" s="15">
        <f t="shared" si="1"/>
        <v>2330469.4395014388</v>
      </c>
    </row>
    <row r="34" spans="8:17" ht="12.75">
      <c r="H34" s="5"/>
      <c r="J34" s="60">
        <v>1801</v>
      </c>
      <c r="K34" s="61" t="s">
        <v>121</v>
      </c>
      <c r="L34" s="37">
        <v>5581.36289055973</v>
      </c>
      <c r="M34" s="37">
        <v>389</v>
      </c>
      <c r="N34" s="37">
        <v>38</v>
      </c>
      <c r="O34" s="15">
        <f t="shared" si="2"/>
        <v>7931.311614815785</v>
      </c>
      <c r="P34" s="15">
        <f t="shared" si="0"/>
        <v>3085280.2181633404</v>
      </c>
      <c r="Q34" s="15">
        <f t="shared" si="1"/>
        <v>2171150.164427735</v>
      </c>
    </row>
    <row r="35" spans="1:17" ht="12.75">
      <c r="A35" t="s">
        <v>12</v>
      </c>
      <c r="H35" s="5"/>
      <c r="J35" s="60">
        <v>1822</v>
      </c>
      <c r="K35" s="61" t="s">
        <v>121</v>
      </c>
      <c r="L35" s="37">
        <v>6662.84463933415</v>
      </c>
      <c r="M35" s="37">
        <v>602</v>
      </c>
      <c r="N35" s="37">
        <v>40</v>
      </c>
      <c r="O35" s="15">
        <f t="shared" si="2"/>
        <v>7931.311614815785</v>
      </c>
      <c r="P35" s="15">
        <f t="shared" si="0"/>
        <v>4774649.592119102</v>
      </c>
      <c r="Q35" s="15">
        <f t="shared" si="1"/>
        <v>4011032.4728791583</v>
      </c>
    </row>
    <row r="36" spans="1:16" ht="12.75">
      <c r="A36" t="s">
        <v>24</v>
      </c>
      <c r="B36">
        <v>1.5</v>
      </c>
      <c r="C36" s="15">
        <v>41163.357056373745</v>
      </c>
      <c r="D36" s="15">
        <f>B36*C36</f>
        <v>61745.03558456062</v>
      </c>
      <c r="E36" s="3">
        <f>B$5/B36</f>
        <v>335.3333333333333</v>
      </c>
      <c r="G36">
        <v>1.5</v>
      </c>
      <c r="H36" s="5">
        <v>420</v>
      </c>
      <c r="M36" s="15">
        <f>SUM(M2:M35)</f>
        <v>17570</v>
      </c>
      <c r="N36" s="15">
        <f>SUM(N2:N35)</f>
        <v>2134</v>
      </c>
      <c r="P36" s="15">
        <f>SUM(P2:P35)</f>
        <v>139353145.07231334</v>
      </c>
    </row>
    <row r="37" spans="1:16" ht="12.75">
      <c r="A37" t="s">
        <v>25</v>
      </c>
      <c r="B37">
        <v>1</v>
      </c>
      <c r="C37" s="15">
        <v>38216.04733492906</v>
      </c>
      <c r="D37" s="15">
        <f>B37*C37</f>
        <v>38216.04733492906</v>
      </c>
      <c r="E37" s="3">
        <f>B$5/B37</f>
        <v>503</v>
      </c>
      <c r="G37">
        <v>1</v>
      </c>
      <c r="H37" s="5">
        <v>630</v>
      </c>
      <c r="K37" s="105" t="s">
        <v>140</v>
      </c>
      <c r="L37" s="106"/>
      <c r="M37" s="107"/>
      <c r="N37" s="15">
        <v>1091.1545195718747</v>
      </c>
      <c r="P37" s="15">
        <f>P36+N40</f>
        <v>164063489.94846806</v>
      </c>
    </row>
    <row r="38" spans="1:14" ht="12.75">
      <c r="A38" t="s">
        <v>26</v>
      </c>
      <c r="D38" s="15">
        <f>3.5*14400</f>
        <v>50400</v>
      </c>
      <c r="G38" s="7">
        <v>34650</v>
      </c>
      <c r="H38" s="5" t="s">
        <v>10</v>
      </c>
      <c r="K38" s="105" t="s">
        <v>141</v>
      </c>
      <c r="L38" s="106"/>
      <c r="M38" s="107"/>
      <c r="N38" s="15">
        <v>10488.201092496873</v>
      </c>
    </row>
    <row r="39" spans="8:14" ht="12.75">
      <c r="H39" s="5"/>
      <c r="K39" s="105" t="s">
        <v>142</v>
      </c>
      <c r="L39" s="106"/>
      <c r="M39" s="107"/>
      <c r="N39" s="15">
        <f>SUM(N37:N38)</f>
        <v>11579.355612068748</v>
      </c>
    </row>
    <row r="40" spans="1:14" ht="12.75">
      <c r="A40" t="s">
        <v>27</v>
      </c>
      <c r="H40" s="5"/>
      <c r="K40" s="105" t="s">
        <v>143</v>
      </c>
      <c r="L40" s="106"/>
      <c r="M40" s="107"/>
      <c r="N40" s="37">
        <f>N36*N39</f>
        <v>24710344.87615471</v>
      </c>
    </row>
    <row r="41" spans="1:8" ht="12.75">
      <c r="A41" t="s">
        <v>13</v>
      </c>
      <c r="B41">
        <v>1</v>
      </c>
      <c r="C41" s="15">
        <v>66157.3544068731</v>
      </c>
      <c r="D41" s="15">
        <f>B41*C41</f>
        <v>66157.3544068731</v>
      </c>
      <c r="E41" s="3">
        <f>B$5/B41</f>
        <v>503</v>
      </c>
      <c r="G41">
        <v>1</v>
      </c>
      <c r="H41" s="5">
        <v>630</v>
      </c>
    </row>
    <row r="42" spans="1:8" ht="12.75">
      <c r="A42" t="s">
        <v>59</v>
      </c>
      <c r="B42">
        <v>1</v>
      </c>
      <c r="C42" s="15">
        <v>65177.700376459674</v>
      </c>
      <c r="D42" s="15">
        <f>B42*C42</f>
        <v>65177.700376459674</v>
      </c>
      <c r="E42" s="3">
        <f>B$5/B42</f>
        <v>503</v>
      </c>
      <c r="G42">
        <v>1.5</v>
      </c>
      <c r="H42" s="5">
        <v>420</v>
      </c>
    </row>
    <row r="43" spans="1:8" ht="12.75">
      <c r="A43" t="s">
        <v>14</v>
      </c>
      <c r="B43">
        <v>3</v>
      </c>
      <c r="C43" s="15">
        <v>25044.977520676086</v>
      </c>
      <c r="D43" s="15">
        <f>B43*C43</f>
        <v>75134.93256202826</v>
      </c>
      <c r="E43" s="3">
        <f>B$5/B43</f>
        <v>167.66666666666666</v>
      </c>
      <c r="G43">
        <v>3</v>
      </c>
      <c r="H43" s="5">
        <v>210</v>
      </c>
    </row>
    <row r="45" spans="1:7" ht="12.75">
      <c r="A45" t="s">
        <v>28</v>
      </c>
      <c r="G45" t="s">
        <v>35</v>
      </c>
    </row>
    <row r="46" spans="1:8" ht="12.75">
      <c r="A46" t="s">
        <v>29</v>
      </c>
      <c r="D46" s="15">
        <v>350</v>
      </c>
      <c r="E46">
        <v>350</v>
      </c>
      <c r="H46">
        <v>200</v>
      </c>
    </row>
    <row r="47" spans="1:8" ht="12.75">
      <c r="A47" t="s">
        <v>30</v>
      </c>
      <c r="D47" s="15">
        <v>150</v>
      </c>
      <c r="E47">
        <v>150</v>
      </c>
      <c r="H47">
        <v>150</v>
      </c>
    </row>
    <row r="48" spans="1:8" ht="12.75">
      <c r="A48" t="s">
        <v>31</v>
      </c>
      <c r="D48" s="15">
        <v>400</v>
      </c>
      <c r="E48">
        <v>400</v>
      </c>
      <c r="H48">
        <v>275</v>
      </c>
    </row>
    <row r="49" spans="1:8" ht="12.75">
      <c r="A49" t="s">
        <v>32</v>
      </c>
      <c r="D49" s="15">
        <v>50</v>
      </c>
      <c r="E49">
        <v>50</v>
      </c>
      <c r="H49">
        <v>20</v>
      </c>
    </row>
    <row r="50" spans="1:8" ht="12.75">
      <c r="A50" t="s">
        <v>33</v>
      </c>
      <c r="D50" s="15">
        <v>275</v>
      </c>
      <c r="E50">
        <v>275</v>
      </c>
      <c r="H50">
        <v>250</v>
      </c>
    </row>
    <row r="51" spans="1:5" ht="12.75">
      <c r="A51" t="s">
        <v>34</v>
      </c>
      <c r="D51" s="15">
        <v>100</v>
      </c>
      <c r="E51">
        <v>100</v>
      </c>
    </row>
    <row r="53" spans="1:4" ht="12.75">
      <c r="A53" t="s">
        <v>134</v>
      </c>
      <c r="D53" s="15">
        <f>SUM(D10:D43)+SUM(D46:D51)*B5</f>
        <v>3428602.2817853997</v>
      </c>
    </row>
    <row r="54" spans="1:4" ht="12.75">
      <c r="A54" t="s">
        <v>137</v>
      </c>
      <c r="D54" s="15">
        <f>D53/503</f>
        <v>6816.306723231411</v>
      </c>
    </row>
    <row r="55" spans="1:4" ht="12.75">
      <c r="A55" t="s">
        <v>138</v>
      </c>
      <c r="D55" s="15">
        <v>1115.0048915843747</v>
      </c>
    </row>
    <row r="56" spans="1:4" ht="12.75">
      <c r="A56" t="s">
        <v>135</v>
      </c>
      <c r="D56" s="15">
        <f>SUM(D54:D55)</f>
        <v>7931.311614815785</v>
      </c>
    </row>
    <row r="57" spans="1:4" ht="12.75">
      <c r="A57" t="s">
        <v>136</v>
      </c>
      <c r="D57" s="15">
        <f>+'Additional Costs'!E16</f>
        <v>1091.1545195718747</v>
      </c>
    </row>
    <row r="58" spans="1:4" ht="12.75">
      <c r="A58" t="s">
        <v>208</v>
      </c>
      <c r="D58" s="15">
        <f>+'Additional Costs'!E25</f>
        <v>10488.201092496873</v>
      </c>
    </row>
    <row r="59" spans="1:4" ht="12.75">
      <c r="A59" t="s">
        <v>209</v>
      </c>
      <c r="D59" s="15">
        <f>+D58+D57</f>
        <v>11579.355612068748</v>
      </c>
    </row>
  </sheetData>
  <mergeCells count="4">
    <mergeCell ref="K37:M37"/>
    <mergeCell ref="K38:M38"/>
    <mergeCell ref="K39:M39"/>
    <mergeCell ref="K40:M40"/>
  </mergeCells>
  <printOptions gridLines="1"/>
  <pageMargins left="0.75" right="0.75" top="1" bottom="1" header="0.5" footer="0.5"/>
  <pageSetup fitToHeight="1" fitToWidth="1" horizontalDpi="300" verticalDpi="3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I42" sqref="I42"/>
    </sheetView>
  </sheetViews>
  <sheetFormatPr defaultColWidth="9.140625" defaultRowHeight="12.75"/>
  <cols>
    <col min="1" max="1" width="20.140625" style="0" customWidth="1"/>
    <col min="3" max="3" width="10.28125" style="15" bestFit="1" customWidth="1"/>
    <col min="4" max="4" width="12.8515625" style="15" bestFit="1" customWidth="1"/>
    <col min="9" max="9" width="10.7109375" style="0" customWidth="1"/>
    <col min="12" max="12" width="9.28125" style="15" bestFit="1" customWidth="1"/>
    <col min="13" max="13" width="10.28125" style="15" bestFit="1" customWidth="1"/>
    <col min="14" max="14" width="14.00390625" style="15" bestFit="1" customWidth="1"/>
    <col min="15" max="15" width="9.28125" style="15" bestFit="1" customWidth="1"/>
    <col min="16" max="16" width="15.00390625" style="15" bestFit="1" customWidth="1"/>
    <col min="17" max="17" width="14.00390625" style="15" bestFit="1" customWidth="1"/>
  </cols>
  <sheetData>
    <row r="1" spans="1:18" ht="40.5">
      <c r="A1" s="1" t="s">
        <v>39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50</v>
      </c>
      <c r="J2" s="62">
        <v>23</v>
      </c>
      <c r="K2" s="63" t="s">
        <v>125</v>
      </c>
      <c r="L2" s="37">
        <v>8195.71698564594</v>
      </c>
      <c r="M2" s="37">
        <v>414</v>
      </c>
      <c r="N2" s="37">
        <v>29</v>
      </c>
      <c r="O2" s="15">
        <f>+$D$56</f>
        <v>7527.80817249265</v>
      </c>
      <c r="P2" s="15">
        <f aca="true" t="shared" si="0" ref="P2:P31">M2*O2</f>
        <v>3116512.583411957</v>
      </c>
      <c r="Q2" s="15">
        <f>L2*M2</f>
        <v>3393026.8320574192</v>
      </c>
    </row>
    <row r="3" spans="1:17" ht="12.75">
      <c r="A3" t="s">
        <v>57</v>
      </c>
      <c r="B3">
        <f>COUNT(M2:M31)</f>
        <v>30</v>
      </c>
      <c r="G3" t="s">
        <v>9</v>
      </c>
      <c r="J3" s="62">
        <v>134</v>
      </c>
      <c r="K3" s="63" t="s">
        <v>125</v>
      </c>
      <c r="L3" s="37">
        <v>6788.30782765309</v>
      </c>
      <c r="M3" s="37">
        <v>1959</v>
      </c>
      <c r="N3" s="37">
        <v>200</v>
      </c>
      <c r="O3" s="15">
        <f aca="true" t="shared" si="1" ref="O3:O31">+$D$56</f>
        <v>7527.80817249265</v>
      </c>
      <c r="P3" s="15">
        <f t="shared" si="0"/>
        <v>14746976.209913101</v>
      </c>
      <c r="Q3" s="15">
        <f aca="true" t="shared" si="2" ref="Q3:Q31">L3*M3</f>
        <v>13298295.034372402</v>
      </c>
    </row>
    <row r="4" spans="10:17" ht="12.75">
      <c r="J4" s="62">
        <v>266</v>
      </c>
      <c r="K4" s="63" t="s">
        <v>125</v>
      </c>
      <c r="L4" s="37">
        <v>7025.18777969019</v>
      </c>
      <c r="M4" s="37">
        <v>584</v>
      </c>
      <c r="N4" s="37">
        <v>86</v>
      </c>
      <c r="O4" s="15">
        <f t="shared" si="1"/>
        <v>7527.80817249265</v>
      </c>
      <c r="P4" s="15">
        <f t="shared" si="0"/>
        <v>4396239.972735708</v>
      </c>
      <c r="Q4" s="15">
        <f t="shared" si="2"/>
        <v>4102709.663339071</v>
      </c>
    </row>
    <row r="5" spans="1:17" ht="12.75">
      <c r="A5" t="s">
        <v>5</v>
      </c>
      <c r="B5">
        <v>998</v>
      </c>
      <c r="G5">
        <v>1300</v>
      </c>
      <c r="J5" s="62">
        <v>284</v>
      </c>
      <c r="K5" s="63" t="s">
        <v>125</v>
      </c>
      <c r="L5" s="37">
        <v>7926.41724137931</v>
      </c>
      <c r="M5" s="37">
        <v>438</v>
      </c>
      <c r="N5" s="37">
        <v>39</v>
      </c>
      <c r="O5" s="15">
        <f t="shared" si="1"/>
        <v>7527.80817249265</v>
      </c>
      <c r="P5" s="15">
        <f t="shared" si="0"/>
        <v>3297179.9795517805</v>
      </c>
      <c r="Q5" s="15">
        <f t="shared" si="2"/>
        <v>3471770.751724138</v>
      </c>
    </row>
    <row r="6" spans="1:17" ht="12.75">
      <c r="A6" t="s">
        <v>6</v>
      </c>
      <c r="B6" s="3">
        <f>B5*E6</f>
        <v>194.61</v>
      </c>
      <c r="E6" s="4">
        <v>0.195</v>
      </c>
      <c r="G6">
        <v>312</v>
      </c>
      <c r="H6" s="4">
        <v>0.24</v>
      </c>
      <c r="J6" s="62">
        <v>326</v>
      </c>
      <c r="K6" s="63" t="s">
        <v>125</v>
      </c>
      <c r="L6" s="37">
        <v>7186.85952380952</v>
      </c>
      <c r="M6" s="37">
        <v>479</v>
      </c>
      <c r="N6" s="37">
        <v>54</v>
      </c>
      <c r="O6" s="15">
        <f t="shared" si="1"/>
        <v>7527.80817249265</v>
      </c>
      <c r="P6" s="15">
        <f t="shared" si="0"/>
        <v>3605820.114623979</v>
      </c>
      <c r="Q6" s="15">
        <f t="shared" si="2"/>
        <v>3442505.7119047605</v>
      </c>
    </row>
    <row r="7" spans="1:17" ht="12.75">
      <c r="A7" t="s">
        <v>7</v>
      </c>
      <c r="B7" s="3">
        <f>B5*E7</f>
        <v>66.866</v>
      </c>
      <c r="E7" s="4">
        <v>0.067</v>
      </c>
      <c r="G7">
        <v>65</v>
      </c>
      <c r="H7" s="4">
        <v>0.05</v>
      </c>
      <c r="J7" s="62">
        <v>358</v>
      </c>
      <c r="K7" s="63" t="s">
        <v>125</v>
      </c>
      <c r="L7" s="37">
        <v>7281.64447311828</v>
      </c>
      <c r="M7" s="37">
        <v>455</v>
      </c>
      <c r="N7" s="37">
        <v>58</v>
      </c>
      <c r="O7" s="15">
        <f t="shared" si="1"/>
        <v>7527.80817249265</v>
      </c>
      <c r="P7" s="15">
        <f t="shared" si="0"/>
        <v>3425152.7184841554</v>
      </c>
      <c r="Q7" s="15">
        <f t="shared" si="2"/>
        <v>3313148.2352688173</v>
      </c>
    </row>
    <row r="8" spans="1:17" ht="12.75">
      <c r="A8" t="s">
        <v>8</v>
      </c>
      <c r="B8" s="3">
        <f>B5*E8</f>
        <v>124.75</v>
      </c>
      <c r="E8" s="4">
        <v>0.125</v>
      </c>
      <c r="G8">
        <v>156</v>
      </c>
      <c r="H8" s="4">
        <v>0.12</v>
      </c>
      <c r="J8" s="62">
        <v>425</v>
      </c>
      <c r="K8" s="63" t="s">
        <v>125</v>
      </c>
      <c r="L8" s="37">
        <v>6838.1841183432</v>
      </c>
      <c r="M8" s="37">
        <v>863</v>
      </c>
      <c r="N8" s="37">
        <v>69</v>
      </c>
      <c r="O8" s="15">
        <f t="shared" si="1"/>
        <v>7527.80817249265</v>
      </c>
      <c r="P8" s="15">
        <f t="shared" si="0"/>
        <v>6496498.452861156</v>
      </c>
      <c r="Q8" s="15">
        <f t="shared" si="2"/>
        <v>5901352.8941301815</v>
      </c>
    </row>
    <row r="9" spans="5:17" ht="12.75">
      <c r="E9" s="4"/>
      <c r="J9" s="62">
        <v>448</v>
      </c>
      <c r="K9" s="63" t="s">
        <v>125</v>
      </c>
      <c r="L9" s="37">
        <v>7050.05497032642</v>
      </c>
      <c r="M9" s="37">
        <v>743</v>
      </c>
      <c r="N9" s="37">
        <v>35</v>
      </c>
      <c r="O9" s="15">
        <f t="shared" si="1"/>
        <v>7527.80817249265</v>
      </c>
      <c r="P9" s="15">
        <f t="shared" si="0"/>
        <v>5593161.472162039</v>
      </c>
      <c r="Q9" s="15">
        <f t="shared" si="2"/>
        <v>5238190.84295253</v>
      </c>
    </row>
    <row r="10" spans="1:17" ht="12.75">
      <c r="A10" t="s">
        <v>18</v>
      </c>
      <c r="B10">
        <v>71</v>
      </c>
      <c r="C10" s="15">
        <v>42914.98927153859</v>
      </c>
      <c r="D10" s="15">
        <f>B10*C10</f>
        <v>3046964.2382792397</v>
      </c>
      <c r="E10" s="3">
        <f>B$5/B10</f>
        <v>14.056338028169014</v>
      </c>
      <c r="J10" s="62">
        <v>462</v>
      </c>
      <c r="K10" s="63" t="s">
        <v>125</v>
      </c>
      <c r="L10" s="37">
        <v>6238.4343486974</v>
      </c>
      <c r="M10" s="37">
        <v>1846</v>
      </c>
      <c r="N10" s="37">
        <v>111</v>
      </c>
      <c r="O10" s="15">
        <f t="shared" si="1"/>
        <v>7527.80817249265</v>
      </c>
      <c r="P10" s="15">
        <f t="shared" si="0"/>
        <v>13896333.88642143</v>
      </c>
      <c r="Q10" s="15">
        <f t="shared" si="2"/>
        <v>11516149.807695402</v>
      </c>
    </row>
    <row r="11" spans="1:17" ht="12.75">
      <c r="A11" t="s">
        <v>15</v>
      </c>
      <c r="G11">
        <v>81</v>
      </c>
      <c r="H11" s="5">
        <v>16.049382716049383</v>
      </c>
      <c r="J11" s="62">
        <v>473</v>
      </c>
      <c r="K11" s="63" t="s">
        <v>125</v>
      </c>
      <c r="L11" s="37">
        <v>6981.80257871878</v>
      </c>
      <c r="M11" s="37">
        <v>1957</v>
      </c>
      <c r="N11" s="37">
        <v>159</v>
      </c>
      <c r="O11" s="15">
        <f t="shared" si="1"/>
        <v>7527.80817249265</v>
      </c>
      <c r="P11" s="15">
        <f t="shared" si="0"/>
        <v>14731920.593568115</v>
      </c>
      <c r="Q11" s="15">
        <f t="shared" si="2"/>
        <v>13663387.646552652</v>
      </c>
    </row>
    <row r="12" spans="1:17" ht="12.75">
      <c r="A12" t="s">
        <v>16</v>
      </c>
      <c r="G12">
        <v>0</v>
      </c>
      <c r="H12" s="5">
        <v>0</v>
      </c>
      <c r="J12" s="62">
        <v>491</v>
      </c>
      <c r="K12" s="63" t="s">
        <v>125</v>
      </c>
      <c r="L12" s="37">
        <v>7716.76963709677</v>
      </c>
      <c r="M12" s="37">
        <v>781</v>
      </c>
      <c r="N12" s="37">
        <v>76</v>
      </c>
      <c r="O12" s="15">
        <f t="shared" si="1"/>
        <v>7527.80817249265</v>
      </c>
      <c r="P12" s="15">
        <f t="shared" si="0"/>
        <v>5879218.182716759</v>
      </c>
      <c r="Q12" s="15">
        <f t="shared" si="2"/>
        <v>6026797.086572577</v>
      </c>
    </row>
    <row r="13" spans="10:17" ht="12.75">
      <c r="J13" s="62">
        <v>633</v>
      </c>
      <c r="K13" s="63" t="s">
        <v>125</v>
      </c>
      <c r="L13" s="37">
        <v>6907.91532319392</v>
      </c>
      <c r="M13" s="37">
        <v>552</v>
      </c>
      <c r="N13" s="37">
        <v>48</v>
      </c>
      <c r="O13" s="15">
        <f t="shared" si="1"/>
        <v>7527.80817249265</v>
      </c>
      <c r="P13" s="15">
        <f t="shared" si="0"/>
        <v>4155350.1112159425</v>
      </c>
      <c r="Q13" s="15">
        <f t="shared" si="2"/>
        <v>3813169.2584030437</v>
      </c>
    </row>
    <row r="14" spans="8:17" ht="12.75">
      <c r="H14" s="5"/>
      <c r="J14" s="62">
        <v>661</v>
      </c>
      <c r="K14" s="63" t="s">
        <v>125</v>
      </c>
      <c r="L14" s="37">
        <v>7252.94943816597</v>
      </c>
      <c r="M14" s="37">
        <v>1615</v>
      </c>
      <c r="N14" s="37">
        <v>160</v>
      </c>
      <c r="O14" s="15">
        <f t="shared" si="1"/>
        <v>7527.80817249265</v>
      </c>
      <c r="P14" s="15">
        <f t="shared" si="0"/>
        <v>12157410.198575629</v>
      </c>
      <c r="Q14" s="15">
        <f t="shared" si="2"/>
        <v>11713513.342638042</v>
      </c>
    </row>
    <row r="15" spans="1:17" ht="12.75">
      <c r="A15" t="s">
        <v>17</v>
      </c>
      <c r="B15">
        <v>12</v>
      </c>
      <c r="C15" s="15">
        <v>20738.494724169057</v>
      </c>
      <c r="D15" s="15">
        <f>B15*C15</f>
        <v>248861.9366900287</v>
      </c>
      <c r="E15" s="3">
        <f>B$5/B15</f>
        <v>83.16666666666667</v>
      </c>
      <c r="G15">
        <v>6.5</v>
      </c>
      <c r="H15" s="5">
        <v>200</v>
      </c>
      <c r="J15" s="62">
        <v>705</v>
      </c>
      <c r="K15" s="63" t="s">
        <v>125</v>
      </c>
      <c r="L15" s="37">
        <v>7174.16209410206</v>
      </c>
      <c r="M15" s="37">
        <v>568</v>
      </c>
      <c r="N15" s="37">
        <v>47</v>
      </c>
      <c r="O15" s="15">
        <f t="shared" si="1"/>
        <v>7527.80817249265</v>
      </c>
      <c r="P15" s="15">
        <f t="shared" si="0"/>
        <v>4275795.041975825</v>
      </c>
      <c r="Q15" s="15">
        <f t="shared" si="2"/>
        <v>4074924.06944997</v>
      </c>
    </row>
    <row r="16" spans="8:17" ht="12.75">
      <c r="H16" s="5"/>
      <c r="J16" s="62">
        <v>823</v>
      </c>
      <c r="K16" s="63" t="s">
        <v>125</v>
      </c>
      <c r="L16" s="37">
        <v>6969.34118673647</v>
      </c>
      <c r="M16" s="37">
        <v>570</v>
      </c>
      <c r="N16" s="37">
        <v>55</v>
      </c>
      <c r="O16" s="15">
        <f t="shared" si="1"/>
        <v>7527.80817249265</v>
      </c>
      <c r="P16" s="15">
        <f t="shared" si="0"/>
        <v>4290850.658320811</v>
      </c>
      <c r="Q16" s="15">
        <f t="shared" si="2"/>
        <v>3972524.476439788</v>
      </c>
    </row>
    <row r="17" spans="1:17" ht="12.75">
      <c r="A17" t="s">
        <v>19</v>
      </c>
      <c r="B17">
        <v>8</v>
      </c>
      <c r="C17" s="15">
        <v>42914.98927153859</v>
      </c>
      <c r="D17" s="15">
        <f>B17*C17</f>
        <v>343319.9141723087</v>
      </c>
      <c r="E17" s="3">
        <f>B$8/B17</f>
        <v>15.59375</v>
      </c>
      <c r="G17">
        <v>10</v>
      </c>
      <c r="H17" s="5">
        <v>15.6</v>
      </c>
      <c r="J17" s="62">
        <v>964</v>
      </c>
      <c r="K17" s="63" t="s">
        <v>125</v>
      </c>
      <c r="L17" s="37">
        <v>5826.18942877802</v>
      </c>
      <c r="M17" s="37">
        <v>458</v>
      </c>
      <c r="N17" s="37">
        <v>48</v>
      </c>
      <c r="O17" s="15">
        <f t="shared" si="1"/>
        <v>7527.80817249265</v>
      </c>
      <c r="P17" s="15">
        <f t="shared" si="0"/>
        <v>3447736.1430016337</v>
      </c>
      <c r="Q17" s="15">
        <f t="shared" si="2"/>
        <v>2668394.758380333</v>
      </c>
    </row>
    <row r="18" spans="1:17" ht="12.75">
      <c r="A18" t="s">
        <v>16</v>
      </c>
      <c r="G18">
        <v>2</v>
      </c>
      <c r="H18" s="5">
        <v>78</v>
      </c>
      <c r="J18" s="62">
        <v>966</v>
      </c>
      <c r="K18" s="63" t="s">
        <v>125</v>
      </c>
      <c r="L18" s="37">
        <v>7075.80438053097</v>
      </c>
      <c r="M18" s="37">
        <v>452</v>
      </c>
      <c r="N18" s="37">
        <v>52</v>
      </c>
      <c r="O18" s="15">
        <f t="shared" si="1"/>
        <v>7527.80817249265</v>
      </c>
      <c r="P18" s="15">
        <f t="shared" si="0"/>
        <v>3402569.2939666775</v>
      </c>
      <c r="Q18" s="15">
        <f t="shared" si="2"/>
        <v>3198263.579999998</v>
      </c>
    </row>
    <row r="19" spans="1:17" ht="12.75">
      <c r="A19" t="s">
        <v>17</v>
      </c>
      <c r="B19">
        <v>12</v>
      </c>
      <c r="C19" s="15">
        <v>20738.494724169057</v>
      </c>
      <c r="D19" s="15">
        <f>B19*C19</f>
        <v>248861.9366900287</v>
      </c>
      <c r="E19" s="3">
        <f>B$8/B19</f>
        <v>10.395833333333334</v>
      </c>
      <c r="G19">
        <v>14</v>
      </c>
      <c r="H19" s="5">
        <v>11.142857142857142</v>
      </c>
      <c r="J19" s="62">
        <v>981</v>
      </c>
      <c r="K19" s="63" t="s">
        <v>125</v>
      </c>
      <c r="L19" s="37">
        <v>8105.56405829596</v>
      </c>
      <c r="M19" s="37">
        <v>469</v>
      </c>
      <c r="N19" s="37">
        <v>42</v>
      </c>
      <c r="O19" s="15">
        <f t="shared" si="1"/>
        <v>7527.80817249265</v>
      </c>
      <c r="P19" s="15">
        <f t="shared" si="0"/>
        <v>3530542.032899053</v>
      </c>
      <c r="Q19" s="15">
        <f t="shared" si="2"/>
        <v>3801509.5433408055</v>
      </c>
    </row>
    <row r="20" spans="8:17" ht="12.75">
      <c r="H20" s="5"/>
      <c r="J20" s="62">
        <v>1084</v>
      </c>
      <c r="K20" s="63" t="s">
        <v>125</v>
      </c>
      <c r="L20" s="37">
        <v>6241.8061627907</v>
      </c>
      <c r="M20" s="37">
        <v>557</v>
      </c>
      <c r="N20" s="37">
        <v>50</v>
      </c>
      <c r="O20" s="15">
        <f t="shared" si="1"/>
        <v>7527.80817249265</v>
      </c>
      <c r="P20" s="15">
        <f t="shared" si="0"/>
        <v>4192989.152078406</v>
      </c>
      <c r="Q20" s="15">
        <f t="shared" si="2"/>
        <v>3476686.0326744197</v>
      </c>
    </row>
    <row r="21" spans="8:17" ht="12.75">
      <c r="H21" s="5"/>
      <c r="J21" s="62">
        <v>1103</v>
      </c>
      <c r="K21" s="63" t="s">
        <v>125</v>
      </c>
      <c r="L21" s="37">
        <v>8069.76401544402</v>
      </c>
      <c r="M21" s="37">
        <v>1554</v>
      </c>
      <c r="N21" s="37">
        <v>151</v>
      </c>
      <c r="O21" s="15">
        <f t="shared" si="1"/>
        <v>7527.80817249265</v>
      </c>
      <c r="P21" s="15">
        <f t="shared" si="0"/>
        <v>11698213.900053577</v>
      </c>
      <c r="Q21" s="15">
        <f t="shared" si="2"/>
        <v>12540413.280000007</v>
      </c>
    </row>
    <row r="22" spans="1:17" ht="12.75">
      <c r="A22" t="s">
        <v>20</v>
      </c>
      <c r="H22" s="5"/>
      <c r="J22" s="62">
        <v>1250</v>
      </c>
      <c r="K22" s="63" t="s">
        <v>125</v>
      </c>
      <c r="L22" s="37">
        <v>7147.42176218532</v>
      </c>
      <c r="M22" s="37">
        <v>1878</v>
      </c>
      <c r="N22" s="37">
        <v>298</v>
      </c>
      <c r="O22" s="15">
        <f t="shared" si="1"/>
        <v>7527.80817249265</v>
      </c>
      <c r="P22" s="15">
        <f t="shared" si="0"/>
        <v>14137223.747941196</v>
      </c>
      <c r="Q22" s="15">
        <f t="shared" si="2"/>
        <v>13422858.069384031</v>
      </c>
    </row>
    <row r="23" spans="1:17" ht="12.75">
      <c r="A23" t="s">
        <v>11</v>
      </c>
      <c r="B23">
        <v>4</v>
      </c>
      <c r="C23" s="15">
        <v>46319.211226175925</v>
      </c>
      <c r="D23" s="15">
        <f>B23*C23</f>
        <v>185276.8449047037</v>
      </c>
      <c r="E23" s="3">
        <f>B$5/B23</f>
        <v>249.5</v>
      </c>
      <c r="G23">
        <v>5</v>
      </c>
      <c r="H23" s="5">
        <v>260</v>
      </c>
      <c r="J23" s="62">
        <v>1251</v>
      </c>
      <c r="K23" s="63" t="s">
        <v>125</v>
      </c>
      <c r="L23" s="37">
        <v>7147.42176218532</v>
      </c>
      <c r="M23" s="37">
        <v>2133</v>
      </c>
      <c r="N23" s="37">
        <v>219</v>
      </c>
      <c r="O23" s="15">
        <f t="shared" si="1"/>
        <v>7527.80817249265</v>
      </c>
      <c r="P23" s="15">
        <f t="shared" si="0"/>
        <v>16056814.83192682</v>
      </c>
      <c r="Q23" s="15">
        <f t="shared" si="2"/>
        <v>15245450.618741289</v>
      </c>
    </row>
    <row r="24" spans="1:17" ht="12.75">
      <c r="A24" t="s">
        <v>58</v>
      </c>
      <c r="B24">
        <v>0.5</v>
      </c>
      <c r="C24" s="15">
        <v>37487.41846994718</v>
      </c>
      <c r="D24" s="15">
        <f>B24*C24</f>
        <v>18743.70923497359</v>
      </c>
      <c r="E24" s="3">
        <f>B$5/B24</f>
        <v>1996</v>
      </c>
      <c r="G24">
        <v>0.67</v>
      </c>
      <c r="H24" s="5">
        <v>1940.2985074626865</v>
      </c>
      <c r="J24" s="62">
        <v>1284</v>
      </c>
      <c r="K24" s="63" t="s">
        <v>125</v>
      </c>
      <c r="L24" s="37">
        <v>7347.8759057971</v>
      </c>
      <c r="M24" s="37">
        <v>551</v>
      </c>
      <c r="N24" s="37">
        <v>101</v>
      </c>
      <c r="O24" s="15">
        <f t="shared" si="1"/>
        <v>7527.80817249265</v>
      </c>
      <c r="P24" s="15">
        <f t="shared" si="0"/>
        <v>4147822.3030434498</v>
      </c>
      <c r="Q24" s="15">
        <f t="shared" si="2"/>
        <v>4048679.624094202</v>
      </c>
    </row>
    <row r="25" spans="1:17" ht="12.75">
      <c r="A25" t="s">
        <v>21</v>
      </c>
      <c r="B25">
        <v>0.25</v>
      </c>
      <c r="C25" s="15">
        <v>46396.4268055664</v>
      </c>
      <c r="D25" s="15">
        <f>B25*C25</f>
        <v>11599.1067013916</v>
      </c>
      <c r="E25" s="3">
        <f>B$5/B25</f>
        <v>3992</v>
      </c>
      <c r="G25">
        <v>0.25</v>
      </c>
      <c r="H25" s="5">
        <v>5200</v>
      </c>
      <c r="J25" s="62">
        <v>1432</v>
      </c>
      <c r="K25" s="63" t="s">
        <v>125</v>
      </c>
      <c r="L25" s="37">
        <v>7784.91649848638</v>
      </c>
      <c r="M25" s="37">
        <v>1253</v>
      </c>
      <c r="N25" s="37">
        <v>153</v>
      </c>
      <c r="O25" s="15">
        <f t="shared" si="1"/>
        <v>7527.80817249265</v>
      </c>
      <c r="P25" s="15">
        <f t="shared" si="0"/>
        <v>9432343.64013329</v>
      </c>
      <c r="Q25" s="15">
        <f t="shared" si="2"/>
        <v>9754500.372603435</v>
      </c>
    </row>
    <row r="26" spans="8:17" ht="12.75">
      <c r="H26" s="5"/>
      <c r="J26" s="62">
        <v>1433</v>
      </c>
      <c r="K26" s="63" t="s">
        <v>125</v>
      </c>
      <c r="L26" s="37">
        <v>7784.91649848638</v>
      </c>
      <c r="M26" s="37">
        <v>1105</v>
      </c>
      <c r="N26" s="37">
        <v>197</v>
      </c>
      <c r="O26" s="15">
        <f t="shared" si="1"/>
        <v>7527.80817249265</v>
      </c>
      <c r="P26" s="15">
        <f t="shared" si="0"/>
        <v>8318228.030604378</v>
      </c>
      <c r="Q26" s="15">
        <f t="shared" si="2"/>
        <v>8602332.73082745</v>
      </c>
    </row>
    <row r="27" spans="8:17" ht="12.75">
      <c r="H27" s="5"/>
      <c r="J27" s="62">
        <v>1450</v>
      </c>
      <c r="K27" s="63" t="s">
        <v>125</v>
      </c>
      <c r="L27" s="37">
        <v>6829.24429824561</v>
      </c>
      <c r="M27" s="37">
        <v>672</v>
      </c>
      <c r="N27" s="37">
        <v>66</v>
      </c>
      <c r="O27" s="15">
        <f t="shared" si="1"/>
        <v>7527.80817249265</v>
      </c>
      <c r="P27" s="15">
        <f t="shared" si="0"/>
        <v>5058687.091915061</v>
      </c>
      <c r="Q27" s="15">
        <f t="shared" si="2"/>
        <v>4589252.16842105</v>
      </c>
    </row>
    <row r="28" spans="1:17" ht="12.75">
      <c r="A28" t="s">
        <v>19</v>
      </c>
      <c r="H28" s="5"/>
      <c r="J28" s="62">
        <v>1464</v>
      </c>
      <c r="K28" s="63" t="s">
        <v>125</v>
      </c>
      <c r="L28" s="37">
        <v>6788.30782765309</v>
      </c>
      <c r="M28" s="37">
        <v>1664</v>
      </c>
      <c r="N28" s="37">
        <v>184</v>
      </c>
      <c r="O28" s="15">
        <f t="shared" si="1"/>
        <v>7527.80817249265</v>
      </c>
      <c r="P28" s="15">
        <f t="shared" si="0"/>
        <v>12526272.799027769</v>
      </c>
      <c r="Q28" s="15">
        <f t="shared" si="2"/>
        <v>11295744.22521474</v>
      </c>
    </row>
    <row r="29" spans="1:17" ht="12.75">
      <c r="A29" s="6" t="s">
        <v>22</v>
      </c>
      <c r="B29">
        <v>0.5</v>
      </c>
      <c r="C29" s="15">
        <v>46396.4268055664</v>
      </c>
      <c r="D29" s="15">
        <f>B29*C29</f>
        <v>23198.2134027832</v>
      </c>
      <c r="E29" s="3">
        <f>B$8/B29</f>
        <v>249.5</v>
      </c>
      <c r="G29">
        <v>0.75</v>
      </c>
      <c r="H29" s="5">
        <v>208</v>
      </c>
      <c r="J29" s="62">
        <v>1547</v>
      </c>
      <c r="K29" s="63" t="s">
        <v>125</v>
      </c>
      <c r="L29" s="37">
        <v>7252.94943816597</v>
      </c>
      <c r="M29" s="37">
        <v>1432</v>
      </c>
      <c r="N29" s="37">
        <v>139</v>
      </c>
      <c r="O29" s="15">
        <f t="shared" si="1"/>
        <v>7527.80817249265</v>
      </c>
      <c r="P29" s="15">
        <f t="shared" si="0"/>
        <v>10779821.303009475</v>
      </c>
      <c r="Q29" s="15">
        <f t="shared" si="2"/>
        <v>10386223.595453668</v>
      </c>
    </row>
    <row r="30" spans="1:17" ht="12.75">
      <c r="A30" t="s">
        <v>58</v>
      </c>
      <c r="G30">
        <v>0.33</v>
      </c>
      <c r="H30" s="5">
        <v>472.7272727272727</v>
      </c>
      <c r="J30" s="62">
        <v>1592</v>
      </c>
      <c r="K30" s="63" t="s">
        <v>125</v>
      </c>
      <c r="L30" s="37">
        <v>7784.91649848638</v>
      </c>
      <c r="M30" s="37">
        <v>1438</v>
      </c>
      <c r="N30" s="37">
        <v>195</v>
      </c>
      <c r="O30" s="15">
        <f t="shared" si="1"/>
        <v>7527.80817249265</v>
      </c>
      <c r="P30" s="15">
        <f t="shared" si="0"/>
        <v>10824988.15204443</v>
      </c>
      <c r="Q30" s="15">
        <f t="shared" si="2"/>
        <v>11194709.924823415</v>
      </c>
    </row>
    <row r="31" spans="1:17" ht="12.75">
      <c r="A31" t="s">
        <v>85</v>
      </c>
      <c r="B31">
        <v>0.25</v>
      </c>
      <c r="C31" s="15">
        <v>48090.39947775422</v>
      </c>
      <c r="D31" s="15">
        <f>B31*C31</f>
        <v>12022.599869438554</v>
      </c>
      <c r="E31" s="3">
        <f>B$8/B31</f>
        <v>499</v>
      </c>
      <c r="H31" s="5"/>
      <c r="J31" s="62">
        <v>1628</v>
      </c>
      <c r="K31" s="63" t="s">
        <v>125</v>
      </c>
      <c r="L31" s="37">
        <v>7147.42176218532</v>
      </c>
      <c r="M31" s="37">
        <v>1588</v>
      </c>
      <c r="N31" s="37">
        <v>228</v>
      </c>
      <c r="O31" s="15">
        <f t="shared" si="1"/>
        <v>7527.80817249265</v>
      </c>
      <c r="P31" s="15">
        <f t="shared" si="0"/>
        <v>11954159.377918327</v>
      </c>
      <c r="Q31" s="15">
        <f t="shared" si="2"/>
        <v>11350105.758350288</v>
      </c>
    </row>
    <row r="32" spans="8:16" ht="12.75">
      <c r="H32" s="5"/>
      <c r="M32" s="15">
        <f>SUM(M2:M31)</f>
        <v>31028</v>
      </c>
      <c r="N32" s="15">
        <f>SUM(N2:N31)</f>
        <v>3349</v>
      </c>
      <c r="P32" s="15">
        <f>SUM(P2:P31)</f>
        <v>233572831.97610196</v>
      </c>
    </row>
    <row r="33" spans="8:16" ht="12.75">
      <c r="H33" s="5"/>
      <c r="K33" s="105" t="s">
        <v>140</v>
      </c>
      <c r="L33" s="106"/>
      <c r="M33" s="107"/>
      <c r="N33" s="15">
        <v>1091.1545195718747</v>
      </c>
      <c r="P33" s="15">
        <f>P32+N36</f>
        <v>272352093.9209202</v>
      </c>
    </row>
    <row r="34" spans="8:14" ht="12.75">
      <c r="H34" s="5"/>
      <c r="K34" s="105" t="s">
        <v>141</v>
      </c>
      <c r="L34" s="106"/>
      <c r="M34" s="107"/>
      <c r="N34" s="15">
        <v>10488.201092496873</v>
      </c>
    </row>
    <row r="35" spans="1:14" ht="12.75">
      <c r="A35" t="s">
        <v>12</v>
      </c>
      <c r="H35" s="5"/>
      <c r="K35" s="105" t="s">
        <v>142</v>
      </c>
      <c r="L35" s="106"/>
      <c r="M35" s="107"/>
      <c r="N35" s="15">
        <f>SUM(N33:N34)</f>
        <v>11579.355612068748</v>
      </c>
    </row>
    <row r="36" spans="1:14" ht="12.75">
      <c r="A36" t="s">
        <v>24</v>
      </c>
      <c r="B36">
        <v>2</v>
      </c>
      <c r="C36" s="15">
        <v>41163.357056373745</v>
      </c>
      <c r="D36" s="15">
        <f>B36*C36</f>
        <v>82326.71411274749</v>
      </c>
      <c r="E36" s="3">
        <f>B$5/B36</f>
        <v>499</v>
      </c>
      <c r="G36">
        <v>1.5</v>
      </c>
      <c r="H36" s="5">
        <v>866.6666666666666</v>
      </c>
      <c r="K36" s="105" t="s">
        <v>143</v>
      </c>
      <c r="L36" s="106"/>
      <c r="M36" s="107"/>
      <c r="N36" s="37">
        <f>N32*N35</f>
        <v>38779261.944818236</v>
      </c>
    </row>
    <row r="37" spans="1:8" ht="12.75">
      <c r="A37" t="s">
        <v>25</v>
      </c>
      <c r="B37">
        <v>2</v>
      </c>
      <c r="C37" s="15">
        <v>38216.04733492906</v>
      </c>
      <c r="D37" s="15">
        <f>B37*C37</f>
        <v>76432.09466985812</v>
      </c>
      <c r="E37" s="3">
        <f>B$5/B37</f>
        <v>499</v>
      </c>
      <c r="G37">
        <v>1.5</v>
      </c>
      <c r="H37" s="5">
        <v>866.6666666666666</v>
      </c>
    </row>
    <row r="38" spans="1:8" ht="12.75">
      <c r="A38" t="s">
        <v>26</v>
      </c>
      <c r="D38" s="15">
        <f>7.9*14400</f>
        <v>113760</v>
      </c>
      <c r="G38" s="7">
        <v>32850</v>
      </c>
      <c r="H38" s="5" t="s">
        <v>10</v>
      </c>
    </row>
    <row r="39" ht="12.75">
      <c r="H39" s="5"/>
    </row>
    <row r="40" spans="1:8" ht="12.75">
      <c r="A40" t="s">
        <v>27</v>
      </c>
      <c r="H40" s="5"/>
    </row>
    <row r="41" spans="1:8" ht="12.75">
      <c r="A41" t="s">
        <v>13</v>
      </c>
      <c r="B41">
        <v>1</v>
      </c>
      <c r="C41" s="15">
        <v>66157.3544068731</v>
      </c>
      <c r="D41" s="15">
        <f>B41*C41</f>
        <v>66157.3544068731</v>
      </c>
      <c r="E41" s="3">
        <f>B$5/B41</f>
        <v>998</v>
      </c>
      <c r="G41">
        <v>1</v>
      </c>
      <c r="H41" s="5">
        <v>1300</v>
      </c>
    </row>
    <row r="42" spans="1:8" ht="12.75">
      <c r="A42" t="s">
        <v>59</v>
      </c>
      <c r="B42">
        <v>3</v>
      </c>
      <c r="C42" s="15">
        <v>65177.700376459674</v>
      </c>
      <c r="D42" s="15">
        <f>B42*C42</f>
        <v>195533.101129379</v>
      </c>
      <c r="E42" s="3">
        <f>B$5/B42</f>
        <v>332.6666666666667</v>
      </c>
      <c r="G42">
        <v>1</v>
      </c>
      <c r="H42" s="5">
        <v>1300</v>
      </c>
    </row>
    <row r="43" spans="1:8" ht="12.75">
      <c r="A43" t="s">
        <v>14</v>
      </c>
      <c r="B43">
        <v>4</v>
      </c>
      <c r="C43" s="15">
        <v>25044.977520676086</v>
      </c>
      <c r="D43" s="15">
        <f>B43*C43</f>
        <v>100179.91008270434</v>
      </c>
      <c r="E43" s="3">
        <f>B$5/B43</f>
        <v>249.5</v>
      </c>
      <c r="G43">
        <v>3</v>
      </c>
      <c r="H43" s="5">
        <v>433.3333333333333</v>
      </c>
    </row>
    <row r="45" spans="1:7" ht="12.75">
      <c r="A45" t="s">
        <v>28</v>
      </c>
      <c r="G45" t="s">
        <v>35</v>
      </c>
    </row>
    <row r="46" spans="1:8" ht="12.75">
      <c r="A46" t="s">
        <v>29</v>
      </c>
      <c r="D46" s="15">
        <v>350</v>
      </c>
      <c r="E46">
        <v>350</v>
      </c>
      <c r="H46">
        <v>250</v>
      </c>
    </row>
    <row r="47" spans="1:8" ht="12.75">
      <c r="A47" t="s">
        <v>30</v>
      </c>
      <c r="D47" s="15">
        <v>200</v>
      </c>
      <c r="E47">
        <v>200</v>
      </c>
      <c r="H47">
        <v>150</v>
      </c>
    </row>
    <row r="48" spans="1:8" ht="12.75">
      <c r="A48" t="s">
        <v>31</v>
      </c>
      <c r="D48" s="15">
        <v>400</v>
      </c>
      <c r="E48">
        <v>400</v>
      </c>
      <c r="H48">
        <v>275</v>
      </c>
    </row>
    <row r="49" spans="1:8" ht="12.75">
      <c r="A49" t="s">
        <v>32</v>
      </c>
      <c r="D49" s="15">
        <v>80</v>
      </c>
      <c r="E49">
        <v>80</v>
      </c>
      <c r="H49">
        <v>20</v>
      </c>
    </row>
    <row r="50" spans="1:8" ht="12.75">
      <c r="A50" t="s">
        <v>33</v>
      </c>
      <c r="D50" s="15">
        <v>500</v>
      </c>
      <c r="E50">
        <v>500</v>
      </c>
      <c r="H50">
        <v>600</v>
      </c>
    </row>
    <row r="51" spans="1:5" ht="12.75">
      <c r="A51" t="s">
        <v>34</v>
      </c>
      <c r="D51" s="15">
        <v>100</v>
      </c>
      <c r="E51">
        <v>100</v>
      </c>
    </row>
    <row r="53" spans="1:4" ht="12.75">
      <c r="A53" t="s">
        <v>134</v>
      </c>
      <c r="D53" s="15">
        <f>SUM(D10:D43)+SUM(D46:D51)*B5</f>
        <v>6399977.674346458</v>
      </c>
    </row>
    <row r="54" spans="1:4" ht="12.75">
      <c r="A54" t="s">
        <v>137</v>
      </c>
      <c r="D54" s="15">
        <f>D53/998</f>
        <v>6412.803280908275</v>
      </c>
    </row>
    <row r="55" spans="1:4" ht="12.75">
      <c r="A55" t="s">
        <v>138</v>
      </c>
      <c r="D55" s="15">
        <v>1115.0048915843747</v>
      </c>
    </row>
    <row r="56" spans="1:4" ht="12.75">
      <c r="A56" t="s">
        <v>135</v>
      </c>
      <c r="D56" s="15">
        <f>SUM(D54:D55)</f>
        <v>7527.80817249265</v>
      </c>
    </row>
    <row r="57" spans="1:4" ht="12.75">
      <c r="A57" t="s">
        <v>136</v>
      </c>
      <c r="D57" s="15">
        <f>+'Additional Costs'!E16</f>
        <v>1091.1545195718747</v>
      </c>
    </row>
    <row r="58" spans="1:4" ht="12.75">
      <c r="A58" t="s">
        <v>208</v>
      </c>
      <c r="D58" s="15">
        <f>+'Additional Costs'!E25</f>
        <v>10488.201092496873</v>
      </c>
    </row>
    <row r="59" spans="1:4" ht="12.75">
      <c r="A59" t="s">
        <v>209</v>
      </c>
      <c r="D59" s="15">
        <f>+D58+D57</f>
        <v>11579.355612068748</v>
      </c>
    </row>
  </sheetData>
  <mergeCells count="4">
    <mergeCell ref="K33:M33"/>
    <mergeCell ref="K34:M34"/>
    <mergeCell ref="K35:M35"/>
    <mergeCell ref="K36:M36"/>
  </mergeCells>
  <printOptions gridLines="1"/>
  <pageMargins left="0.75" right="0.75" top="1" bottom="1" header="0.5" footer="0.5"/>
  <pageSetup fitToHeight="1" fitToWidth="1" horizontalDpi="300" verticalDpi="3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47">
      <selection activeCell="A2" sqref="A2:E74"/>
    </sheetView>
  </sheetViews>
  <sheetFormatPr defaultColWidth="9.140625" defaultRowHeight="12.75"/>
  <cols>
    <col min="2" max="2" width="10.00390625" style="15" customWidth="1"/>
    <col min="3" max="3" width="11.421875" style="15" customWidth="1"/>
    <col min="4" max="4" width="9.28125" style="68" bestFit="1" customWidth="1"/>
    <col min="5" max="5" width="15.00390625" style="15" bestFit="1" customWidth="1"/>
  </cols>
  <sheetData>
    <row r="1" spans="1:5" s="65" customFormat="1" ht="38.25">
      <c r="A1" s="65" t="s">
        <v>115</v>
      </c>
      <c r="B1" s="42" t="s">
        <v>117</v>
      </c>
      <c r="C1" s="42" t="s">
        <v>127</v>
      </c>
      <c r="D1" s="66" t="s">
        <v>128</v>
      </c>
      <c r="E1" s="42" t="s">
        <v>129</v>
      </c>
    </row>
    <row r="2" spans="1:5" ht="12.75">
      <c r="A2" s="64">
        <v>26</v>
      </c>
      <c r="B2" s="37">
        <v>9</v>
      </c>
      <c r="C2" s="37">
        <v>10633.784</v>
      </c>
      <c r="D2" s="67">
        <v>0.555555555555556</v>
      </c>
      <c r="E2" s="15">
        <f>B2*C2</f>
        <v>95704.056</v>
      </c>
    </row>
    <row r="3" spans="1:5" ht="12.75">
      <c r="A3" s="64">
        <v>1662</v>
      </c>
      <c r="B3" s="37">
        <v>10</v>
      </c>
      <c r="C3" s="37">
        <v>13338.5325714286</v>
      </c>
      <c r="D3" s="67">
        <v>0.6</v>
      </c>
      <c r="E3" s="15">
        <f aca="true" t="shared" si="0" ref="E3:E66">B3*C3</f>
        <v>133385.32571428598</v>
      </c>
    </row>
    <row r="4" spans="1:5" ht="12.75">
      <c r="A4" s="64">
        <v>1056</v>
      </c>
      <c r="B4" s="37">
        <v>13</v>
      </c>
      <c r="C4" s="37">
        <v>8330.55416666667</v>
      </c>
      <c r="D4" s="67">
        <v>0.538461538461538</v>
      </c>
      <c r="E4" s="15">
        <f t="shared" si="0"/>
        <v>108297.20416666672</v>
      </c>
    </row>
    <row r="5" spans="1:5" ht="12.75">
      <c r="A5" s="64">
        <v>1783</v>
      </c>
      <c r="B5" s="37">
        <v>13</v>
      </c>
      <c r="C5" s="37">
        <v>19122.4981690141</v>
      </c>
      <c r="D5" s="67">
        <v>1</v>
      </c>
      <c r="E5" s="15">
        <f t="shared" si="0"/>
        <v>248592.4761971833</v>
      </c>
    </row>
    <row r="6" spans="1:5" ht="12.75">
      <c r="A6" s="64">
        <v>1763</v>
      </c>
      <c r="B6" s="37">
        <v>17</v>
      </c>
      <c r="C6" s="37">
        <v>11960.8451470588</v>
      </c>
      <c r="D6" s="67">
        <v>1</v>
      </c>
      <c r="E6" s="15">
        <f t="shared" si="0"/>
        <v>203334.36749999961</v>
      </c>
    </row>
    <row r="7" spans="1:5" ht="12.75">
      <c r="A7" s="64">
        <v>1745</v>
      </c>
      <c r="B7" s="37">
        <v>18</v>
      </c>
      <c r="C7" s="37">
        <v>10371.6868518519</v>
      </c>
      <c r="D7" s="67">
        <v>0.777777777777778</v>
      </c>
      <c r="E7" s="15">
        <f t="shared" si="0"/>
        <v>186690.36333333421</v>
      </c>
    </row>
    <row r="8" spans="1:5" ht="12.75">
      <c r="A8" s="64">
        <v>1668</v>
      </c>
      <c r="B8" s="37">
        <v>20</v>
      </c>
      <c r="C8" s="37">
        <v>19030.2642307692</v>
      </c>
      <c r="D8" s="67">
        <v>1</v>
      </c>
      <c r="E8" s="15">
        <f t="shared" si="0"/>
        <v>380605.284615384</v>
      </c>
    </row>
    <row r="9" spans="1:5" ht="12.75">
      <c r="A9" s="64">
        <v>1315</v>
      </c>
      <c r="B9" s="37">
        <v>22</v>
      </c>
      <c r="C9" s="37">
        <v>8799.28115483319</v>
      </c>
      <c r="D9" s="67">
        <v>0.681818181818182</v>
      </c>
      <c r="E9" s="15">
        <f t="shared" si="0"/>
        <v>193584.1854063302</v>
      </c>
    </row>
    <row r="10" spans="1:5" ht="12.75">
      <c r="A10" s="64">
        <v>863</v>
      </c>
      <c r="B10" s="37">
        <v>24</v>
      </c>
      <c r="C10" s="37">
        <v>14951.2421951219</v>
      </c>
      <c r="D10" s="67">
        <v>0.708333333333333</v>
      </c>
      <c r="E10" s="15">
        <f t="shared" si="0"/>
        <v>358829.8126829256</v>
      </c>
    </row>
    <row r="11" spans="1:5" ht="12.75">
      <c r="A11" s="64">
        <v>1759</v>
      </c>
      <c r="B11" s="37">
        <v>28</v>
      </c>
      <c r="C11" s="37">
        <v>16236.713</v>
      </c>
      <c r="D11" s="67">
        <v>1</v>
      </c>
      <c r="E11" s="15">
        <f t="shared" si="0"/>
        <v>454627.964</v>
      </c>
    </row>
    <row r="12" spans="1:5" ht="12.75">
      <c r="A12" s="64">
        <v>548</v>
      </c>
      <c r="B12" s="37">
        <v>32</v>
      </c>
      <c r="C12" s="37">
        <v>11534.9948717949</v>
      </c>
      <c r="D12" s="67">
        <v>0.8125</v>
      </c>
      <c r="E12" s="15">
        <f t="shared" si="0"/>
        <v>369119.8358974368</v>
      </c>
    </row>
    <row r="13" spans="1:5" ht="12.75">
      <c r="A13" s="64">
        <v>1748</v>
      </c>
      <c r="B13" s="37">
        <v>34</v>
      </c>
      <c r="C13" s="37">
        <v>12560.2120661157</v>
      </c>
      <c r="D13" s="67">
        <v>0.970588235294118</v>
      </c>
      <c r="E13" s="15">
        <f t="shared" si="0"/>
        <v>427047.2102479338</v>
      </c>
    </row>
    <row r="14" spans="1:5" ht="12.75">
      <c r="A14" s="64">
        <v>1290</v>
      </c>
      <c r="B14" s="37">
        <v>35</v>
      </c>
      <c r="C14" s="37">
        <v>6235.12511111111</v>
      </c>
      <c r="D14" s="67">
        <v>0.628571428571429</v>
      </c>
      <c r="E14" s="15">
        <f t="shared" si="0"/>
        <v>218229.37888888884</v>
      </c>
    </row>
    <row r="15" spans="1:5" ht="12.75">
      <c r="A15" s="64">
        <v>537</v>
      </c>
      <c r="B15" s="37">
        <v>36</v>
      </c>
      <c r="C15" s="37">
        <v>11229.3421214451</v>
      </c>
      <c r="D15" s="67">
        <v>0.722222222222222</v>
      </c>
      <c r="E15" s="15">
        <f t="shared" si="0"/>
        <v>404256.31637202355</v>
      </c>
    </row>
    <row r="16" spans="1:5" ht="12.75">
      <c r="A16" s="64">
        <v>27</v>
      </c>
      <c r="B16" s="37">
        <v>37</v>
      </c>
      <c r="C16" s="37">
        <v>19030.2642307692</v>
      </c>
      <c r="D16" s="67">
        <v>1</v>
      </c>
      <c r="E16" s="15">
        <f t="shared" si="0"/>
        <v>704119.7765384604</v>
      </c>
    </row>
    <row r="17" spans="1:5" ht="12.75">
      <c r="A17" s="64">
        <v>862</v>
      </c>
      <c r="B17" s="37">
        <v>45</v>
      </c>
      <c r="C17" s="37">
        <v>10371.6868518519</v>
      </c>
      <c r="D17" s="67">
        <v>0.688888888888889</v>
      </c>
      <c r="E17" s="15">
        <f t="shared" si="0"/>
        <v>466725.90833333554</v>
      </c>
    </row>
    <row r="18" spans="1:5" ht="12.75">
      <c r="A18" s="64">
        <v>1205</v>
      </c>
      <c r="B18" s="37">
        <v>52</v>
      </c>
      <c r="C18" s="37">
        <v>19122.4981690141</v>
      </c>
      <c r="D18" s="67">
        <v>1</v>
      </c>
      <c r="E18" s="15">
        <f t="shared" si="0"/>
        <v>994369.9047887332</v>
      </c>
    </row>
    <row r="19" spans="1:5" ht="12.75">
      <c r="A19" s="64">
        <v>1208</v>
      </c>
      <c r="B19" s="37">
        <v>53</v>
      </c>
      <c r="C19" s="37">
        <v>15635.7494</v>
      </c>
      <c r="D19" s="67">
        <v>1</v>
      </c>
      <c r="E19" s="15">
        <f t="shared" si="0"/>
        <v>828694.7182</v>
      </c>
    </row>
    <row r="20" spans="1:5" ht="12.75">
      <c r="A20" s="64">
        <v>41</v>
      </c>
      <c r="B20" s="37">
        <v>54</v>
      </c>
      <c r="C20" s="37">
        <v>13731.6656603774</v>
      </c>
      <c r="D20" s="67">
        <v>0.981481481481482</v>
      </c>
      <c r="E20" s="15">
        <f t="shared" si="0"/>
        <v>741509.9456603796</v>
      </c>
    </row>
    <row r="21" spans="1:5" ht="12.75">
      <c r="A21" s="64">
        <v>1043</v>
      </c>
      <c r="B21" s="37">
        <v>55</v>
      </c>
      <c r="C21" s="37">
        <v>11960.8451470588</v>
      </c>
      <c r="D21" s="67">
        <v>0.836363636363636</v>
      </c>
      <c r="E21" s="15">
        <f t="shared" si="0"/>
        <v>657846.4830882341</v>
      </c>
    </row>
    <row r="22" spans="1:5" ht="12.75">
      <c r="A22" s="64">
        <v>1710</v>
      </c>
      <c r="B22" s="37">
        <v>56</v>
      </c>
      <c r="C22" s="37">
        <v>9884.67464566929</v>
      </c>
      <c r="D22" s="67">
        <v>0.946428571428571</v>
      </c>
      <c r="E22" s="15">
        <f t="shared" si="0"/>
        <v>553541.7801574803</v>
      </c>
    </row>
    <row r="23" spans="1:5" ht="12.75">
      <c r="A23" s="64">
        <v>1026</v>
      </c>
      <c r="B23" s="37">
        <v>59</v>
      </c>
      <c r="C23" s="37">
        <v>16183.0222727273</v>
      </c>
      <c r="D23" s="67">
        <v>0.966101694915254</v>
      </c>
      <c r="E23" s="15">
        <f t="shared" si="0"/>
        <v>954798.3140909107</v>
      </c>
    </row>
    <row r="24" spans="1:5" ht="12.75">
      <c r="A24" s="64">
        <v>1052</v>
      </c>
      <c r="B24" s="37">
        <v>60</v>
      </c>
      <c r="C24" s="37">
        <v>13000.2740277778</v>
      </c>
      <c r="D24" s="67">
        <v>0.566666666666667</v>
      </c>
      <c r="E24" s="15">
        <f t="shared" si="0"/>
        <v>780016.4416666679</v>
      </c>
    </row>
    <row r="25" spans="1:5" ht="12.75">
      <c r="A25" s="64">
        <v>1659</v>
      </c>
      <c r="B25" s="37">
        <v>62</v>
      </c>
      <c r="C25" s="37">
        <v>14037.4138211382</v>
      </c>
      <c r="D25" s="67">
        <v>1</v>
      </c>
      <c r="E25" s="15">
        <f t="shared" si="0"/>
        <v>870319.6569105684</v>
      </c>
    </row>
    <row r="26" spans="1:5" ht="12.75">
      <c r="A26" s="64">
        <v>1669</v>
      </c>
      <c r="B26" s="37">
        <v>67</v>
      </c>
      <c r="C26" s="37">
        <v>13829.2704024768</v>
      </c>
      <c r="D26" s="67">
        <v>1</v>
      </c>
      <c r="E26" s="15">
        <f t="shared" si="0"/>
        <v>926561.1169659457</v>
      </c>
    </row>
    <row r="27" spans="1:5" ht="12.75">
      <c r="A27" s="64">
        <v>1626</v>
      </c>
      <c r="B27" s="37">
        <v>68</v>
      </c>
      <c r="C27" s="37">
        <v>13113.5671891892</v>
      </c>
      <c r="D27" s="67">
        <v>1</v>
      </c>
      <c r="E27" s="15">
        <f t="shared" si="0"/>
        <v>891722.5688648656</v>
      </c>
    </row>
    <row r="28" spans="1:5" ht="12.75">
      <c r="A28" s="64">
        <v>1656</v>
      </c>
      <c r="B28" s="37">
        <v>77</v>
      </c>
      <c r="C28" s="37">
        <v>13756.0849367089</v>
      </c>
      <c r="D28" s="67">
        <v>0.987012987012987</v>
      </c>
      <c r="E28" s="15">
        <f t="shared" si="0"/>
        <v>1059218.5401265852</v>
      </c>
    </row>
    <row r="29" spans="1:5" ht="12.75">
      <c r="A29" s="64">
        <v>1711</v>
      </c>
      <c r="B29" s="37">
        <v>78</v>
      </c>
      <c r="C29" s="37">
        <v>12109.9390594059</v>
      </c>
      <c r="D29" s="67">
        <v>1</v>
      </c>
      <c r="E29" s="15">
        <f t="shared" si="0"/>
        <v>944575.2466336603</v>
      </c>
    </row>
    <row r="30" spans="1:5" ht="12.75">
      <c r="A30" s="64">
        <v>1553</v>
      </c>
      <c r="B30" s="37">
        <v>79</v>
      </c>
      <c r="C30" s="37">
        <v>18269.24296875</v>
      </c>
      <c r="D30" s="67">
        <v>1</v>
      </c>
      <c r="E30" s="15">
        <f t="shared" si="0"/>
        <v>1443270.19453125</v>
      </c>
    </row>
    <row r="31" spans="1:5" ht="12.75">
      <c r="A31" s="64">
        <v>1640</v>
      </c>
      <c r="B31" s="37">
        <v>79</v>
      </c>
      <c r="C31" s="37">
        <v>9001.14727848101</v>
      </c>
      <c r="D31" s="67">
        <v>0.670886075949367</v>
      </c>
      <c r="E31" s="15">
        <f t="shared" si="0"/>
        <v>711090.6349999998</v>
      </c>
    </row>
    <row r="32" spans="1:5" ht="12.75">
      <c r="A32" s="64">
        <v>571</v>
      </c>
      <c r="B32" s="37">
        <v>87</v>
      </c>
      <c r="C32" s="37">
        <v>17114.2246534654</v>
      </c>
      <c r="D32" s="67">
        <v>0.977011494252874</v>
      </c>
      <c r="E32" s="15">
        <f t="shared" si="0"/>
        <v>1488937.5448514898</v>
      </c>
    </row>
    <row r="33" spans="1:5" ht="12.75">
      <c r="A33" s="64">
        <v>886</v>
      </c>
      <c r="B33" s="37">
        <v>87</v>
      </c>
      <c r="C33" s="37">
        <v>12560.2120661157</v>
      </c>
      <c r="D33" s="67">
        <v>0.96551724137931</v>
      </c>
      <c r="E33" s="15">
        <f t="shared" si="0"/>
        <v>1092738.449752066</v>
      </c>
    </row>
    <row r="34" spans="1:5" ht="12.75">
      <c r="A34" s="64">
        <v>72</v>
      </c>
      <c r="B34" s="37">
        <v>88</v>
      </c>
      <c r="C34" s="37">
        <v>14037.4138211382</v>
      </c>
      <c r="D34" s="67">
        <v>0.988636363636364</v>
      </c>
      <c r="E34" s="15">
        <f t="shared" si="0"/>
        <v>1235292.4162601617</v>
      </c>
    </row>
    <row r="35" spans="1:5" ht="12.75">
      <c r="A35" s="64">
        <v>1025</v>
      </c>
      <c r="B35" s="37">
        <v>88</v>
      </c>
      <c r="C35" s="37">
        <v>16236.713</v>
      </c>
      <c r="D35" s="67">
        <v>0.954545454545455</v>
      </c>
      <c r="E35" s="15">
        <f t="shared" si="0"/>
        <v>1428830.744</v>
      </c>
    </row>
    <row r="36" spans="1:5" ht="12.75">
      <c r="A36" s="64">
        <v>1643</v>
      </c>
      <c r="B36" s="37">
        <v>94</v>
      </c>
      <c r="C36" s="37">
        <v>9070.03098039216</v>
      </c>
      <c r="D36" s="67">
        <v>0.946808510638298</v>
      </c>
      <c r="E36" s="15">
        <f t="shared" si="0"/>
        <v>852582.9121568629</v>
      </c>
    </row>
    <row r="37" spans="1:5" ht="12.75">
      <c r="A37" s="64">
        <v>1551</v>
      </c>
      <c r="B37" s="37">
        <v>97</v>
      </c>
      <c r="C37" s="37">
        <v>14037.4138211382</v>
      </c>
      <c r="D37" s="67">
        <v>1</v>
      </c>
      <c r="E37" s="15">
        <f t="shared" si="0"/>
        <v>1361629.1406504053</v>
      </c>
    </row>
    <row r="38" spans="1:5" ht="12.75">
      <c r="A38" s="64">
        <v>629</v>
      </c>
      <c r="B38" s="37">
        <v>137</v>
      </c>
      <c r="C38" s="37">
        <v>8918.68162962963</v>
      </c>
      <c r="D38" s="67">
        <v>0.598540145985402</v>
      </c>
      <c r="E38" s="15">
        <f t="shared" si="0"/>
        <v>1221859.3832592592</v>
      </c>
    </row>
    <row r="39" spans="1:5" ht="12.75">
      <c r="A39" s="64">
        <v>1532</v>
      </c>
      <c r="B39" s="37">
        <v>138</v>
      </c>
      <c r="C39" s="37">
        <v>10949.4625168919</v>
      </c>
      <c r="D39" s="67">
        <v>0.833333333333333</v>
      </c>
      <c r="E39" s="15">
        <f t="shared" si="0"/>
        <v>1511025.8273310822</v>
      </c>
    </row>
    <row r="40" spans="1:5" ht="12.75">
      <c r="A40" s="64">
        <v>1719</v>
      </c>
      <c r="B40" s="37">
        <v>140</v>
      </c>
      <c r="C40" s="37">
        <v>8863.1599815838</v>
      </c>
      <c r="D40" s="67">
        <v>0.528571428571429</v>
      </c>
      <c r="E40" s="15">
        <f t="shared" si="0"/>
        <v>1240842.397421732</v>
      </c>
    </row>
    <row r="41" spans="1:5" ht="12.75">
      <c r="A41" s="64">
        <v>1807</v>
      </c>
      <c r="B41" s="37">
        <v>146</v>
      </c>
      <c r="C41" s="37">
        <v>19929.8390909091</v>
      </c>
      <c r="D41" s="67">
        <v>0.993150684931507</v>
      </c>
      <c r="E41" s="15">
        <f t="shared" si="0"/>
        <v>2909756.5072727287</v>
      </c>
    </row>
    <row r="42" spans="1:5" ht="12.75">
      <c r="A42" s="64">
        <v>1816</v>
      </c>
      <c r="B42" s="37">
        <v>146</v>
      </c>
      <c r="C42" s="37">
        <v>12516.0864583333</v>
      </c>
      <c r="D42" s="67">
        <v>1</v>
      </c>
      <c r="E42" s="15">
        <f t="shared" si="0"/>
        <v>1827348.622916662</v>
      </c>
    </row>
    <row r="43" spans="1:5" ht="12.75">
      <c r="A43" s="64">
        <v>1550</v>
      </c>
      <c r="B43" s="37">
        <v>149</v>
      </c>
      <c r="C43" s="37">
        <v>12634.2461649783</v>
      </c>
      <c r="D43" s="67">
        <v>0.953020134228188</v>
      </c>
      <c r="E43" s="15">
        <f t="shared" si="0"/>
        <v>1882502.6785817668</v>
      </c>
    </row>
    <row r="44" spans="1:5" ht="12.75">
      <c r="A44" s="64">
        <v>40</v>
      </c>
      <c r="B44" s="37">
        <v>160</v>
      </c>
      <c r="C44" s="37">
        <v>14885.1349438202</v>
      </c>
      <c r="D44" s="67">
        <v>0.99375</v>
      </c>
      <c r="E44" s="15">
        <f t="shared" si="0"/>
        <v>2381621.5910112318</v>
      </c>
    </row>
    <row r="45" spans="1:5" ht="12.75">
      <c r="A45" s="64">
        <v>643</v>
      </c>
      <c r="B45" s="37">
        <v>179</v>
      </c>
      <c r="C45" s="37">
        <v>8863.1599815838</v>
      </c>
      <c r="D45" s="67">
        <v>0.558659217877095</v>
      </c>
      <c r="E45" s="15">
        <f t="shared" si="0"/>
        <v>1586505.6367035003</v>
      </c>
    </row>
    <row r="46" spans="1:5" ht="12.75">
      <c r="A46" s="64">
        <v>1014</v>
      </c>
      <c r="B46" s="37">
        <v>180</v>
      </c>
      <c r="C46" s="37">
        <v>12634.2461649783</v>
      </c>
      <c r="D46" s="67">
        <v>0.966666666666667</v>
      </c>
      <c r="E46" s="15">
        <f t="shared" si="0"/>
        <v>2274164.309696094</v>
      </c>
    </row>
    <row r="47" spans="1:5" ht="12.75">
      <c r="A47" s="64">
        <v>1022</v>
      </c>
      <c r="B47" s="37">
        <v>185</v>
      </c>
      <c r="C47" s="37">
        <v>10949.4625168919</v>
      </c>
      <c r="D47" s="67">
        <v>0.827027027027027</v>
      </c>
      <c r="E47" s="15">
        <f t="shared" si="0"/>
        <v>2025650.5656250014</v>
      </c>
    </row>
    <row r="48" spans="1:5" ht="12.75">
      <c r="A48" s="64">
        <v>49</v>
      </c>
      <c r="B48" s="37">
        <v>193</v>
      </c>
      <c r="C48" s="37">
        <v>12053.1714516129</v>
      </c>
      <c r="D48" s="67">
        <v>0.922279792746114</v>
      </c>
      <c r="E48" s="15">
        <f t="shared" si="0"/>
        <v>2326262.0901612896</v>
      </c>
    </row>
    <row r="49" spans="1:5" ht="12.75">
      <c r="A49" s="64">
        <v>570</v>
      </c>
      <c r="B49" s="37">
        <v>199</v>
      </c>
      <c r="C49" s="37">
        <v>9884.67464566929</v>
      </c>
      <c r="D49" s="67">
        <v>0.974874371859296</v>
      </c>
      <c r="E49" s="15">
        <f t="shared" si="0"/>
        <v>1967050.2544881888</v>
      </c>
    </row>
    <row r="50" spans="1:5" ht="12.75">
      <c r="A50" s="64">
        <v>33</v>
      </c>
      <c r="B50" s="37">
        <v>210</v>
      </c>
      <c r="C50" s="37">
        <v>8799.28115483319</v>
      </c>
      <c r="D50" s="67">
        <v>1</v>
      </c>
      <c r="E50" s="15">
        <f t="shared" si="0"/>
        <v>1847849.0425149698</v>
      </c>
    </row>
    <row r="51" spans="1:5" ht="12.75">
      <c r="A51" s="64">
        <v>39</v>
      </c>
      <c r="B51" s="37">
        <v>212</v>
      </c>
      <c r="C51" s="37">
        <v>13829.2704024768</v>
      </c>
      <c r="D51" s="67">
        <v>0.981132075471698</v>
      </c>
      <c r="E51" s="15">
        <f t="shared" si="0"/>
        <v>2931805.3253250816</v>
      </c>
    </row>
    <row r="52" spans="1:5" ht="12.75">
      <c r="A52" s="64">
        <v>642</v>
      </c>
      <c r="B52" s="37">
        <v>219</v>
      </c>
      <c r="C52" s="37">
        <v>8863.1599815838</v>
      </c>
      <c r="D52" s="67">
        <v>0.575342465753425</v>
      </c>
      <c r="E52" s="15">
        <f t="shared" si="0"/>
        <v>1941032.0359668522</v>
      </c>
    </row>
    <row r="53" spans="1:5" ht="12.75">
      <c r="A53" s="64">
        <v>1016</v>
      </c>
      <c r="B53" s="37">
        <v>232</v>
      </c>
      <c r="C53" s="37">
        <v>10711.0840711463</v>
      </c>
      <c r="D53" s="67">
        <v>0.948275862068966</v>
      </c>
      <c r="E53" s="15">
        <f t="shared" si="0"/>
        <v>2484971.5045059416</v>
      </c>
    </row>
    <row r="54" spans="1:5" ht="12.75">
      <c r="A54" s="64">
        <v>628</v>
      </c>
      <c r="B54" s="37">
        <v>234</v>
      </c>
      <c r="C54" s="37">
        <v>9001.14727848101</v>
      </c>
      <c r="D54" s="67">
        <v>0.709401709401709</v>
      </c>
      <c r="E54" s="15">
        <f t="shared" si="0"/>
        <v>2106268.4631645563</v>
      </c>
    </row>
    <row r="55" spans="1:5" ht="12.75">
      <c r="A55" s="64">
        <v>638</v>
      </c>
      <c r="B55" s="37">
        <v>250</v>
      </c>
      <c r="C55" s="37">
        <v>7485.15768292683</v>
      </c>
      <c r="D55" s="67">
        <v>0.704</v>
      </c>
      <c r="E55" s="15">
        <f t="shared" si="0"/>
        <v>1871289.4207317075</v>
      </c>
    </row>
    <row r="56" spans="1:5" ht="12.75">
      <c r="A56" s="64">
        <v>143</v>
      </c>
      <c r="B56" s="37">
        <v>255</v>
      </c>
      <c r="C56" s="37">
        <v>5885.1505715433</v>
      </c>
      <c r="D56" s="67">
        <v>0.513725490196078</v>
      </c>
      <c r="E56" s="15">
        <f t="shared" si="0"/>
        <v>1500713.3957435417</v>
      </c>
    </row>
    <row r="57" spans="1:5" ht="12.75">
      <c r="A57" s="64">
        <v>1485</v>
      </c>
      <c r="B57" s="37">
        <v>262</v>
      </c>
      <c r="C57" s="37">
        <v>11229.3421214451</v>
      </c>
      <c r="D57" s="67">
        <v>0.99236641221374</v>
      </c>
      <c r="E57" s="15">
        <f t="shared" si="0"/>
        <v>2942087.635818616</v>
      </c>
    </row>
    <row r="58" spans="1:5" ht="12.75">
      <c r="A58" s="64">
        <v>32</v>
      </c>
      <c r="B58" s="37">
        <v>270</v>
      </c>
      <c r="C58" s="37">
        <v>8799.28115483319</v>
      </c>
      <c r="D58" s="67">
        <v>0.577777777777778</v>
      </c>
      <c r="E58" s="15">
        <f t="shared" si="0"/>
        <v>2375805.9118049615</v>
      </c>
    </row>
    <row r="59" spans="1:5" ht="12.75">
      <c r="A59" s="64">
        <v>1035</v>
      </c>
      <c r="B59" s="37">
        <v>271</v>
      </c>
      <c r="C59" s="37">
        <v>13113.5671891892</v>
      </c>
      <c r="D59" s="67">
        <v>0.992619926199262</v>
      </c>
      <c r="E59" s="15">
        <f t="shared" si="0"/>
        <v>3553776.708270273</v>
      </c>
    </row>
    <row r="60" spans="1:5" ht="12.75">
      <c r="A60" s="64">
        <v>31</v>
      </c>
      <c r="B60" s="37">
        <v>272</v>
      </c>
      <c r="C60" s="37">
        <v>8799.28115483319</v>
      </c>
      <c r="D60" s="67">
        <v>0.676470588235294</v>
      </c>
      <c r="E60" s="15">
        <f t="shared" si="0"/>
        <v>2393404.4741146276</v>
      </c>
    </row>
    <row r="61" spans="1:5" ht="12.75">
      <c r="A61" s="64">
        <v>1023</v>
      </c>
      <c r="B61" s="37">
        <v>277</v>
      </c>
      <c r="C61" s="37">
        <v>9920.95351170568</v>
      </c>
      <c r="D61" s="67">
        <v>0.592057761732852</v>
      </c>
      <c r="E61" s="15">
        <f t="shared" si="0"/>
        <v>2748104.1227424736</v>
      </c>
    </row>
    <row r="62" spans="1:5" ht="12.75">
      <c r="A62" s="64">
        <v>1519</v>
      </c>
      <c r="B62" s="37">
        <v>296</v>
      </c>
      <c r="C62" s="37">
        <v>7485.15768292683</v>
      </c>
      <c r="D62" s="67">
        <v>0.567567567567568</v>
      </c>
      <c r="E62" s="15">
        <f t="shared" si="0"/>
        <v>2215606.6741463416</v>
      </c>
    </row>
    <row r="63" spans="1:5" ht="12.75">
      <c r="A63" s="64">
        <v>1613</v>
      </c>
      <c r="B63" s="37">
        <v>297</v>
      </c>
      <c r="C63" s="37">
        <v>11229.3421214451</v>
      </c>
      <c r="D63" s="67">
        <v>0.986531986531986</v>
      </c>
      <c r="E63" s="15">
        <f t="shared" si="0"/>
        <v>3335114.6100691943</v>
      </c>
    </row>
    <row r="64" spans="1:5" ht="12.75">
      <c r="A64" s="64">
        <v>538</v>
      </c>
      <c r="B64" s="37">
        <v>303</v>
      </c>
      <c r="C64" s="37">
        <v>11229.3421214451</v>
      </c>
      <c r="D64" s="67">
        <v>1</v>
      </c>
      <c r="E64" s="15">
        <f t="shared" si="0"/>
        <v>3402490.662797865</v>
      </c>
    </row>
    <row r="65" spans="1:5" ht="12.75">
      <c r="A65" s="64">
        <v>579</v>
      </c>
      <c r="B65" s="37">
        <v>311</v>
      </c>
      <c r="C65" s="37">
        <v>12109.9390594059</v>
      </c>
      <c r="D65" s="67">
        <v>1</v>
      </c>
      <c r="E65" s="15">
        <f t="shared" si="0"/>
        <v>3766191.047475235</v>
      </c>
    </row>
    <row r="66" spans="1:5" ht="12.75">
      <c r="A66" s="64">
        <v>48</v>
      </c>
      <c r="B66" s="37">
        <v>317</v>
      </c>
      <c r="C66" s="37">
        <v>9070.03098039216</v>
      </c>
      <c r="D66" s="67">
        <v>0.958990536277603</v>
      </c>
      <c r="E66" s="15">
        <f t="shared" si="0"/>
        <v>2875199.8207843145</v>
      </c>
    </row>
    <row r="67" spans="1:5" ht="12.75">
      <c r="A67" s="64">
        <v>1020</v>
      </c>
      <c r="B67" s="37">
        <v>330</v>
      </c>
      <c r="C67" s="37">
        <v>10949.4625168919</v>
      </c>
      <c r="D67" s="67">
        <v>0.815151515151515</v>
      </c>
      <c r="E67" s="15">
        <f aca="true" t="shared" si="1" ref="E67:E74">B67*C67</f>
        <v>3613322.630574327</v>
      </c>
    </row>
    <row r="68" spans="1:5" ht="12.75">
      <c r="A68" s="64">
        <v>1015</v>
      </c>
      <c r="B68" s="37">
        <v>340</v>
      </c>
      <c r="C68" s="37">
        <v>12634.2461649783</v>
      </c>
      <c r="D68" s="67">
        <v>0.991176470588235</v>
      </c>
      <c r="E68" s="15">
        <f t="shared" si="1"/>
        <v>4295643.696092622</v>
      </c>
    </row>
    <row r="69" spans="1:5" ht="12.75">
      <c r="A69" s="64">
        <v>539</v>
      </c>
      <c r="B69" s="37">
        <v>364</v>
      </c>
      <c r="C69" s="37">
        <v>11229.3421214451</v>
      </c>
      <c r="D69" s="67">
        <v>0.978021978021978</v>
      </c>
      <c r="E69" s="15">
        <f t="shared" si="1"/>
        <v>4087480.532206016</v>
      </c>
    </row>
    <row r="70" spans="1:5" ht="12.75">
      <c r="A70" s="64">
        <v>640</v>
      </c>
      <c r="B70" s="37">
        <v>370</v>
      </c>
      <c r="C70" s="37">
        <v>8742.50162666667</v>
      </c>
      <c r="D70" s="67">
        <v>0.524324324324324</v>
      </c>
      <c r="E70" s="15">
        <f t="shared" si="1"/>
        <v>3234725.6018666676</v>
      </c>
    </row>
    <row r="71" spans="1:5" ht="12.75">
      <c r="A71" s="64">
        <v>36</v>
      </c>
      <c r="B71" s="37">
        <v>382</v>
      </c>
      <c r="C71" s="37">
        <v>8799.28115483319</v>
      </c>
      <c r="D71" s="67">
        <v>0.643979057591623</v>
      </c>
      <c r="E71" s="15">
        <f t="shared" si="1"/>
        <v>3361325.4011462787</v>
      </c>
    </row>
    <row r="72" spans="1:5" ht="12.75">
      <c r="A72" s="64">
        <v>639</v>
      </c>
      <c r="B72" s="37">
        <v>386</v>
      </c>
      <c r="C72" s="37">
        <v>7485.15768292683</v>
      </c>
      <c r="D72" s="67">
        <v>0.582901554404145</v>
      </c>
      <c r="E72" s="15">
        <f t="shared" si="1"/>
        <v>2889270.865609756</v>
      </c>
    </row>
    <row r="73" spans="1:5" ht="12.75">
      <c r="A73" s="64">
        <v>37</v>
      </c>
      <c r="B73" s="37">
        <v>521</v>
      </c>
      <c r="C73" s="37">
        <v>8825.94789690722</v>
      </c>
      <c r="D73" s="67">
        <v>0.619961612284069</v>
      </c>
      <c r="E73" s="15">
        <f t="shared" si="1"/>
        <v>4598318.854288662</v>
      </c>
    </row>
    <row r="74" spans="1:5" ht="12.75">
      <c r="A74" s="64">
        <v>543</v>
      </c>
      <c r="B74" s="37">
        <v>602</v>
      </c>
      <c r="C74" s="37">
        <v>8701.70540447504</v>
      </c>
      <c r="D74" s="67">
        <v>0.976744186046512</v>
      </c>
      <c r="E74" s="15">
        <f t="shared" si="1"/>
        <v>5238426.653493974</v>
      </c>
    </row>
    <row r="75" spans="2:5" ht="12.75">
      <c r="B75" s="15">
        <f>SUM(B2:B74)</f>
        <v>11568</v>
      </c>
      <c r="E75" s="15">
        <f>SUM(E2:E74)</f>
        <v>123535511.17597383</v>
      </c>
    </row>
    <row r="76" ht="12.75">
      <c r="E76" s="15">
        <f>E75*1.045</f>
        <v>129094609.17889264</v>
      </c>
    </row>
    <row r="77" ht="12.75">
      <c r="E77" s="15">
        <f>E76*1.045</f>
        <v>134903866.5919428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tabSelected="1" workbookViewId="0" topLeftCell="A1">
      <selection activeCell="I42" sqref="I42"/>
    </sheetView>
  </sheetViews>
  <sheetFormatPr defaultColWidth="9.140625" defaultRowHeight="12.75"/>
  <cols>
    <col min="1" max="1" width="28.28125" style="15" customWidth="1"/>
    <col min="2" max="2" width="9.140625" style="15" customWidth="1"/>
    <col min="3" max="3" width="9.28125" style="15" bestFit="1" customWidth="1"/>
    <col min="4" max="4" width="9.140625" style="15" customWidth="1"/>
    <col min="5" max="6" width="9.28125" style="15" bestFit="1" customWidth="1"/>
    <col min="7" max="8" width="9.140625" style="15" customWidth="1"/>
    <col min="9" max="9" width="10.7109375" style="15" customWidth="1"/>
    <col min="10" max="16384" width="9.140625" style="15" customWidth="1"/>
  </cols>
  <sheetData>
    <row r="2" spans="6:8" ht="12.75">
      <c r="F2" s="16" t="s">
        <v>89</v>
      </c>
      <c r="H2" s="22" t="s">
        <v>108</v>
      </c>
    </row>
    <row r="3" spans="1:9" ht="12.75">
      <c r="A3" s="108" t="s">
        <v>90</v>
      </c>
      <c r="B3" s="108"/>
      <c r="C3" s="108"/>
      <c r="D3" s="108"/>
      <c r="E3" s="108"/>
      <c r="F3" s="108"/>
      <c r="I3" s="22" t="s">
        <v>105</v>
      </c>
    </row>
    <row r="4" spans="1:8" ht="13.5" thickBot="1">
      <c r="A4" s="15" t="s">
        <v>91</v>
      </c>
      <c r="H4" s="22" t="s">
        <v>109</v>
      </c>
    </row>
    <row r="5" ht="13.5" thickBot="1">
      <c r="H5" s="26" t="s">
        <v>110</v>
      </c>
    </row>
    <row r="6" spans="1:12" ht="12.75">
      <c r="A6" s="17" t="s">
        <v>1</v>
      </c>
      <c r="H6" s="30"/>
      <c r="I6" s="27"/>
      <c r="J6" s="27"/>
      <c r="K6" s="27"/>
      <c r="L6" s="28"/>
    </row>
    <row r="7" spans="3:12" ht="12.75">
      <c r="C7" s="69" t="s">
        <v>130</v>
      </c>
      <c r="D7" s="69" t="s">
        <v>0</v>
      </c>
      <c r="E7" s="69" t="s">
        <v>76</v>
      </c>
      <c r="F7" s="69" t="s">
        <v>77</v>
      </c>
      <c r="H7" s="70" t="s">
        <v>130</v>
      </c>
      <c r="I7" s="69" t="s">
        <v>0</v>
      </c>
      <c r="J7" s="69" t="s">
        <v>76</v>
      </c>
      <c r="K7" s="69" t="s">
        <v>77</v>
      </c>
      <c r="L7" s="29"/>
    </row>
    <row r="8" spans="1:12" ht="12.75">
      <c r="A8" s="15" t="s">
        <v>92</v>
      </c>
      <c r="C8" s="18" t="s">
        <v>93</v>
      </c>
      <c r="D8" s="18" t="s">
        <v>94</v>
      </c>
      <c r="E8" s="18" t="s">
        <v>95</v>
      </c>
      <c r="F8" s="18" t="s">
        <v>96</v>
      </c>
      <c r="H8" s="30"/>
      <c r="I8" s="31"/>
      <c r="J8" s="31"/>
      <c r="K8" s="31"/>
      <c r="L8" s="29"/>
    </row>
    <row r="9" spans="1:12" ht="12.75">
      <c r="A9" s="22" t="s">
        <v>111</v>
      </c>
      <c r="C9" s="16">
        <f>+VSEL!B5</f>
        <v>20</v>
      </c>
      <c r="D9" s="16">
        <v>90</v>
      </c>
      <c r="E9" s="16">
        <v>238</v>
      </c>
      <c r="F9" s="16">
        <v>404</v>
      </c>
      <c r="H9" s="30"/>
      <c r="I9" s="31"/>
      <c r="J9" s="31"/>
      <c r="K9" s="31"/>
      <c r="L9" s="29"/>
    </row>
    <row r="10" spans="1:12" ht="12.75">
      <c r="A10" s="22" t="s">
        <v>112</v>
      </c>
      <c r="C10" s="16">
        <v>171</v>
      </c>
      <c r="D10" s="16">
        <v>99</v>
      </c>
      <c r="E10" s="16">
        <v>106</v>
      </c>
      <c r="F10" s="25">
        <v>80</v>
      </c>
      <c r="G10" s="15">
        <f>SUM(C10:F10)</f>
        <v>456</v>
      </c>
      <c r="H10" s="30">
        <v>168</v>
      </c>
      <c r="I10" s="31">
        <v>87</v>
      </c>
      <c r="J10" s="31">
        <v>76</v>
      </c>
      <c r="K10" s="31">
        <v>92</v>
      </c>
      <c r="L10" s="29">
        <f>SUM(H10:K10)</f>
        <v>423</v>
      </c>
    </row>
    <row r="11" spans="1:12" ht="12.75">
      <c r="A11" s="22" t="s">
        <v>113</v>
      </c>
      <c r="C11" s="16">
        <f>SUM(VSEL!M2:M160)</f>
        <v>3196</v>
      </c>
      <c r="D11" s="16">
        <f>SUM(SEL!M2:M87)</f>
        <v>7816</v>
      </c>
      <c r="E11" s="16">
        <f>SUM(MEL!M2:M90)</f>
        <v>20618</v>
      </c>
      <c r="F11" s="16">
        <f>SUM(LEL!M2:M81)</f>
        <v>32561</v>
      </c>
      <c r="G11" s="15">
        <f>SUM(C11:F11)</f>
        <v>64191</v>
      </c>
      <c r="H11" s="30">
        <v>3485</v>
      </c>
      <c r="I11" s="31">
        <v>7651</v>
      </c>
      <c r="J11" s="31">
        <v>17595</v>
      </c>
      <c r="K11" s="31">
        <v>41966</v>
      </c>
      <c r="L11" s="29">
        <f>SUM(H11:K11)</f>
        <v>70697</v>
      </c>
    </row>
    <row r="12" spans="1:12" ht="12.75">
      <c r="A12" s="22"/>
      <c r="C12" s="16"/>
      <c r="D12" s="16"/>
      <c r="E12" s="16"/>
      <c r="F12" s="16"/>
      <c r="H12" s="30"/>
      <c r="I12" s="31"/>
      <c r="J12" s="31"/>
      <c r="K12" s="31"/>
      <c r="L12" s="29"/>
    </row>
    <row r="13" spans="1:12" ht="12.75">
      <c r="A13" s="15" t="s">
        <v>28</v>
      </c>
      <c r="H13" s="30"/>
      <c r="I13" s="31"/>
      <c r="J13" s="31"/>
      <c r="K13" s="31"/>
      <c r="L13" s="29"/>
    </row>
    <row r="14" spans="1:12" ht="12.75">
      <c r="A14" s="15" t="s">
        <v>29</v>
      </c>
      <c r="C14" s="15">
        <v>250</v>
      </c>
      <c r="D14" s="15">
        <v>250</v>
      </c>
      <c r="E14" s="15">
        <f aca="true" t="shared" si="0" ref="E14:E19">+D14</f>
        <v>250</v>
      </c>
      <c r="F14" s="15">
        <v>250</v>
      </c>
      <c r="H14" s="30"/>
      <c r="I14" s="31"/>
      <c r="J14" s="31"/>
      <c r="K14" s="31"/>
      <c r="L14" s="29"/>
    </row>
    <row r="15" spans="1:12" ht="12.75">
      <c r="A15" s="15" t="s">
        <v>30</v>
      </c>
      <c r="C15" s="15">
        <v>100</v>
      </c>
      <c r="D15" s="15">
        <v>100</v>
      </c>
      <c r="E15" s="15">
        <f t="shared" si="0"/>
        <v>100</v>
      </c>
      <c r="F15" s="15">
        <v>100</v>
      </c>
      <c r="H15" s="30"/>
      <c r="I15" s="31"/>
      <c r="J15" s="31"/>
      <c r="K15" s="31"/>
      <c r="L15" s="29"/>
    </row>
    <row r="16" spans="1:12" ht="12.75">
      <c r="A16" s="15" t="s">
        <v>31</v>
      </c>
      <c r="C16" s="15">
        <v>500</v>
      </c>
      <c r="D16" s="15">
        <v>300</v>
      </c>
      <c r="E16" s="15">
        <f t="shared" si="0"/>
        <v>300</v>
      </c>
      <c r="F16" s="15">
        <v>300</v>
      </c>
      <c r="H16" s="30"/>
      <c r="I16" s="31"/>
      <c r="J16" s="31"/>
      <c r="K16" s="31"/>
      <c r="L16" s="29"/>
    </row>
    <row r="17" spans="1:12" ht="12.75">
      <c r="A17" s="15" t="s">
        <v>32</v>
      </c>
      <c r="C17" s="15">
        <v>50</v>
      </c>
      <c r="D17" s="15">
        <v>50</v>
      </c>
      <c r="E17" s="15">
        <f t="shared" si="0"/>
        <v>50</v>
      </c>
      <c r="F17" s="15">
        <v>50</v>
      </c>
      <c r="H17" s="30"/>
      <c r="I17" s="31"/>
      <c r="J17" s="31"/>
      <c r="K17" s="31"/>
      <c r="L17" s="29"/>
    </row>
    <row r="18" spans="1:12" ht="12.75">
      <c r="A18" s="15" t="s">
        <v>33</v>
      </c>
      <c r="C18" s="15">
        <v>75</v>
      </c>
      <c r="D18" s="15">
        <v>50</v>
      </c>
      <c r="E18" s="15">
        <f t="shared" si="0"/>
        <v>50</v>
      </c>
      <c r="F18" s="15">
        <v>50</v>
      </c>
      <c r="H18" s="30"/>
      <c r="I18" s="31"/>
      <c r="J18" s="31"/>
      <c r="K18" s="31"/>
      <c r="L18" s="29"/>
    </row>
    <row r="19" spans="1:12" ht="12.75">
      <c r="A19" s="15" t="s">
        <v>34</v>
      </c>
      <c r="C19" s="19">
        <v>25</v>
      </c>
      <c r="D19" s="19">
        <v>25</v>
      </c>
      <c r="E19" s="19">
        <f t="shared" si="0"/>
        <v>25</v>
      </c>
      <c r="F19" s="19">
        <v>25</v>
      </c>
      <c r="H19" s="30"/>
      <c r="I19" s="31"/>
      <c r="J19" s="31"/>
      <c r="K19" s="31"/>
      <c r="L19" s="29"/>
    </row>
    <row r="20" spans="3:12" ht="12.75">
      <c r="C20" s="15">
        <f>SUM(C14:C19)</f>
        <v>1000</v>
      </c>
      <c r="D20" s="15">
        <f>SUM(D14:D19)</f>
        <v>775</v>
      </c>
      <c r="E20" s="15">
        <f>SUM(E14:E19)</f>
        <v>775</v>
      </c>
      <c r="F20" s="15">
        <f>SUM(F14:F19)</f>
        <v>775</v>
      </c>
      <c r="H20" s="30"/>
      <c r="I20" s="31"/>
      <c r="J20" s="31"/>
      <c r="K20" s="31"/>
      <c r="L20" s="29"/>
    </row>
    <row r="21" spans="8:12" ht="12.75">
      <c r="H21" s="30"/>
      <c r="I21" s="31"/>
      <c r="J21" s="31"/>
      <c r="K21" s="31"/>
      <c r="L21" s="29"/>
    </row>
    <row r="22" spans="1:12" ht="12.75">
      <c r="A22" s="20" t="s">
        <v>97</v>
      </c>
      <c r="C22" s="69" t="s">
        <v>130</v>
      </c>
      <c r="D22" s="69" t="s">
        <v>0</v>
      </c>
      <c r="E22" s="69" t="s">
        <v>76</v>
      </c>
      <c r="F22" s="69" t="s">
        <v>77</v>
      </c>
      <c r="H22" s="69" t="s">
        <v>130</v>
      </c>
      <c r="I22" s="69" t="s">
        <v>0</v>
      </c>
      <c r="J22" s="69" t="s">
        <v>76</v>
      </c>
      <c r="K22" s="69" t="s">
        <v>77</v>
      </c>
      <c r="L22" s="29"/>
    </row>
    <row r="23" spans="1:12" ht="12.75">
      <c r="A23" s="15" t="s">
        <v>92</v>
      </c>
      <c r="C23" s="18" t="s">
        <v>93</v>
      </c>
      <c r="D23" s="23" t="s">
        <v>100</v>
      </c>
      <c r="E23" s="23" t="s">
        <v>101</v>
      </c>
      <c r="F23" s="23" t="s">
        <v>107</v>
      </c>
      <c r="H23" s="30"/>
      <c r="I23" s="31"/>
      <c r="J23" s="31"/>
      <c r="K23" s="31"/>
      <c r="L23" s="29"/>
    </row>
    <row r="24" spans="1:12" ht="12.75">
      <c r="A24" s="22" t="s">
        <v>111</v>
      </c>
      <c r="C24" s="15">
        <v>23</v>
      </c>
      <c r="D24" s="15">
        <v>70</v>
      </c>
      <c r="E24" s="15">
        <v>154</v>
      </c>
      <c r="F24" s="15">
        <v>503</v>
      </c>
      <c r="H24" s="30"/>
      <c r="I24" s="31"/>
      <c r="J24" s="31"/>
      <c r="K24" s="31"/>
      <c r="L24" s="29"/>
    </row>
    <row r="25" spans="1:12" ht="12.75">
      <c r="A25" s="22" t="s">
        <v>112</v>
      </c>
      <c r="C25" s="15">
        <v>109</v>
      </c>
      <c r="D25" s="15">
        <v>46</v>
      </c>
      <c r="E25" s="15">
        <v>29</v>
      </c>
      <c r="F25" s="15">
        <v>35</v>
      </c>
      <c r="G25" s="15">
        <f>SUM(C25:F25)</f>
        <v>219</v>
      </c>
      <c r="H25" s="30">
        <v>113</v>
      </c>
      <c r="I25" s="31">
        <v>40</v>
      </c>
      <c r="J25" s="31">
        <v>21</v>
      </c>
      <c r="K25" s="31">
        <v>9</v>
      </c>
      <c r="L25" s="29">
        <f>SUM(H25:K25)</f>
        <v>183</v>
      </c>
    </row>
    <row r="26" spans="1:12" ht="12.75">
      <c r="A26" s="22" t="s">
        <v>131</v>
      </c>
      <c r="C26" s="15">
        <f>SUM(VSMS!M2:M108)</f>
        <v>2536</v>
      </c>
      <c r="D26" s="15">
        <f>SUM(SMS!M2:M36)</f>
        <v>2513</v>
      </c>
      <c r="E26" s="15">
        <f>SUM(MMS!M2:M27)</f>
        <v>4066</v>
      </c>
      <c r="F26" s="15">
        <f>SUM(LMS!M2:M35)</f>
        <v>17570</v>
      </c>
      <c r="G26" s="15">
        <f>SUM(C26:F26)</f>
        <v>26685</v>
      </c>
      <c r="H26" s="30">
        <v>2637</v>
      </c>
      <c r="I26" s="31">
        <v>2869</v>
      </c>
      <c r="J26" s="31">
        <v>3139</v>
      </c>
      <c r="K26" s="31">
        <v>4061</v>
      </c>
      <c r="L26" s="29">
        <f>SUM(H26:K26)</f>
        <v>12706</v>
      </c>
    </row>
    <row r="27" spans="8:12" ht="12.75">
      <c r="H27" s="30"/>
      <c r="I27" s="31"/>
      <c r="J27" s="31"/>
      <c r="K27" s="31"/>
      <c r="L27" s="29"/>
    </row>
    <row r="28" spans="1:12" ht="12.75">
      <c r="A28" s="15" t="s">
        <v>28</v>
      </c>
      <c r="C28" s="21"/>
      <c r="H28" s="30"/>
      <c r="I28" s="31"/>
      <c r="J28" s="31"/>
      <c r="K28" s="31"/>
      <c r="L28" s="29"/>
    </row>
    <row r="29" spans="1:12" ht="12.75">
      <c r="A29" s="15" t="s">
        <v>29</v>
      </c>
      <c r="C29" s="15">
        <v>250</v>
      </c>
      <c r="D29" s="15">
        <v>350</v>
      </c>
      <c r="E29" s="15">
        <v>350</v>
      </c>
      <c r="F29" s="15">
        <v>350</v>
      </c>
      <c r="H29" s="30"/>
      <c r="I29" s="31"/>
      <c r="J29" s="31"/>
      <c r="K29" s="31"/>
      <c r="L29" s="29"/>
    </row>
    <row r="30" spans="1:12" ht="12.75">
      <c r="A30" s="15" t="s">
        <v>30</v>
      </c>
      <c r="C30" s="15">
        <v>100</v>
      </c>
      <c r="D30" s="15">
        <v>150</v>
      </c>
      <c r="E30" s="15">
        <v>150</v>
      </c>
      <c r="F30" s="15">
        <v>150</v>
      </c>
      <c r="H30" s="30"/>
      <c r="I30" s="31"/>
      <c r="J30" s="31"/>
      <c r="K30" s="31"/>
      <c r="L30" s="29"/>
    </row>
    <row r="31" spans="1:12" ht="12.75">
      <c r="A31" s="15" t="s">
        <v>31</v>
      </c>
      <c r="C31" s="15">
        <v>500</v>
      </c>
      <c r="D31" s="15">
        <v>400</v>
      </c>
      <c r="E31" s="15">
        <v>400</v>
      </c>
      <c r="F31" s="15">
        <v>400</v>
      </c>
      <c r="H31" s="30"/>
      <c r="I31" s="31"/>
      <c r="J31" s="31"/>
      <c r="K31" s="31"/>
      <c r="L31" s="29"/>
    </row>
    <row r="32" spans="1:12" ht="12.75">
      <c r="A32" s="15" t="s">
        <v>32</v>
      </c>
      <c r="C32" s="15">
        <v>50</v>
      </c>
      <c r="D32" s="15">
        <v>50</v>
      </c>
      <c r="E32" s="15">
        <v>50</v>
      </c>
      <c r="F32" s="15">
        <v>50</v>
      </c>
      <c r="H32" s="30"/>
      <c r="I32" s="31"/>
      <c r="J32" s="31"/>
      <c r="K32" s="31"/>
      <c r="L32" s="29"/>
    </row>
    <row r="33" spans="1:12" ht="12.75">
      <c r="A33" s="15" t="s">
        <v>33</v>
      </c>
      <c r="C33" s="15">
        <v>75</v>
      </c>
      <c r="D33" s="15">
        <v>275</v>
      </c>
      <c r="E33" s="15">
        <v>275</v>
      </c>
      <c r="F33" s="15">
        <v>275</v>
      </c>
      <c r="H33" s="30"/>
      <c r="I33" s="31"/>
      <c r="J33" s="31"/>
      <c r="K33" s="31"/>
      <c r="L33" s="29"/>
    </row>
    <row r="34" spans="1:12" ht="12.75">
      <c r="A34" s="15" t="s">
        <v>34</v>
      </c>
      <c r="C34" s="19">
        <v>25</v>
      </c>
      <c r="D34" s="19">
        <v>25</v>
      </c>
      <c r="E34" s="19">
        <v>25</v>
      </c>
      <c r="F34" s="19">
        <v>100</v>
      </c>
      <c r="H34" s="30"/>
      <c r="I34" s="31"/>
      <c r="J34" s="31"/>
      <c r="K34" s="31"/>
      <c r="L34" s="29"/>
    </row>
    <row r="35" spans="3:12" ht="12.75">
      <c r="C35" s="15">
        <f>SUM(C29:C34)</f>
        <v>1000</v>
      </c>
      <c r="D35" s="15">
        <f>SUM(D29:D34)</f>
        <v>1250</v>
      </c>
      <c r="E35" s="15">
        <f>SUM(E29:E34)</f>
        <v>1250</v>
      </c>
      <c r="F35" s="15">
        <f>SUM(F29:F34)</f>
        <v>1325</v>
      </c>
      <c r="H35" s="30"/>
      <c r="I35" s="31"/>
      <c r="J35" s="31"/>
      <c r="K35" s="31"/>
      <c r="L35" s="29"/>
    </row>
    <row r="36" spans="8:12" ht="12.75">
      <c r="H36" s="30"/>
      <c r="I36" s="31"/>
      <c r="J36" s="31"/>
      <c r="K36" s="31"/>
      <c r="L36" s="29"/>
    </row>
    <row r="37" spans="1:12" ht="12.75">
      <c r="A37" s="20" t="s">
        <v>98</v>
      </c>
      <c r="C37" s="69" t="s">
        <v>130</v>
      </c>
      <c r="D37" s="69" t="s">
        <v>0</v>
      </c>
      <c r="E37" s="69" t="s">
        <v>76</v>
      </c>
      <c r="F37" s="69" t="s">
        <v>77</v>
      </c>
      <c r="H37" s="69" t="s">
        <v>130</v>
      </c>
      <c r="I37" s="69" t="s">
        <v>0</v>
      </c>
      <c r="J37" s="69" t="s">
        <v>76</v>
      </c>
      <c r="K37" s="69" t="s">
        <v>77</v>
      </c>
      <c r="L37" s="29"/>
    </row>
    <row r="38" spans="1:12" ht="12.75">
      <c r="A38" s="15" t="s">
        <v>92</v>
      </c>
      <c r="C38" s="18" t="s">
        <v>93</v>
      </c>
      <c r="D38" s="18" t="s">
        <v>94</v>
      </c>
      <c r="E38" s="23" t="s">
        <v>102</v>
      </c>
      <c r="F38" s="24" t="s">
        <v>103</v>
      </c>
      <c r="H38" s="30"/>
      <c r="I38" s="31"/>
      <c r="J38" s="31"/>
      <c r="K38" s="31"/>
      <c r="L38" s="29"/>
    </row>
    <row r="39" spans="1:12" ht="12.75">
      <c r="A39" s="22" t="s">
        <v>111</v>
      </c>
      <c r="C39" s="15">
        <v>34</v>
      </c>
      <c r="D39" s="15">
        <v>93</v>
      </c>
      <c r="E39" s="15">
        <v>240</v>
      </c>
      <c r="F39" s="15">
        <v>998</v>
      </c>
      <c r="H39" s="30"/>
      <c r="I39" s="31"/>
      <c r="J39" s="31"/>
      <c r="K39" s="31"/>
      <c r="L39" s="29"/>
    </row>
    <row r="40" spans="1:12" ht="12.75">
      <c r="A40" s="22" t="s">
        <v>112</v>
      </c>
      <c r="C40" s="15">
        <v>46</v>
      </c>
      <c r="D40" s="15">
        <v>58</v>
      </c>
      <c r="E40" s="15">
        <v>36</v>
      </c>
      <c r="F40" s="15">
        <v>32</v>
      </c>
      <c r="G40" s="15">
        <f>SUM(C40:F40)</f>
        <v>172</v>
      </c>
      <c r="H40" s="30">
        <v>45</v>
      </c>
      <c r="I40" s="31">
        <v>63</v>
      </c>
      <c r="J40" s="31">
        <v>35</v>
      </c>
      <c r="K40" s="31">
        <v>32</v>
      </c>
      <c r="L40" s="29">
        <f>SUM(H40:K40)</f>
        <v>175</v>
      </c>
    </row>
    <row r="41" spans="1:12" ht="13.5" thickBot="1">
      <c r="A41" s="22" t="s">
        <v>132</v>
      </c>
      <c r="C41" s="15">
        <f>SUM(VSHS!M2:M43)</f>
        <v>1309</v>
      </c>
      <c r="D41" s="15">
        <f>SUM(SHS!M2:M54)</f>
        <v>4715</v>
      </c>
      <c r="E41" s="15">
        <f>SUM(MHS!M2:M30)</f>
        <v>6984</v>
      </c>
      <c r="F41" s="15">
        <f>SUM(LHS!M2:M31)</f>
        <v>31028</v>
      </c>
      <c r="G41" s="15">
        <f>SUM(C41:F41)</f>
        <v>44036</v>
      </c>
      <c r="H41" s="32">
        <v>1380</v>
      </c>
      <c r="I41" s="33">
        <v>5669</v>
      </c>
      <c r="J41" s="33">
        <v>8395</v>
      </c>
      <c r="K41" s="33">
        <v>32151</v>
      </c>
      <c r="L41" s="34">
        <f>SUM(H41:K41)</f>
        <v>47595</v>
      </c>
    </row>
    <row r="42" spans="1:12" ht="12.75">
      <c r="A42" s="22"/>
      <c r="H42" s="31"/>
      <c r="I42" s="31"/>
      <c r="J42" s="31"/>
      <c r="K42" s="31"/>
      <c r="L42" s="31"/>
    </row>
    <row r="43" ht="12.75">
      <c r="A43" s="15" t="s">
        <v>28</v>
      </c>
    </row>
    <row r="44" spans="1:6" ht="12.75">
      <c r="A44" s="15" t="s">
        <v>29</v>
      </c>
      <c r="C44" s="15">
        <v>400</v>
      </c>
      <c r="D44" s="15">
        <v>400</v>
      </c>
      <c r="E44" s="15">
        <v>400</v>
      </c>
      <c r="F44" s="15">
        <v>350</v>
      </c>
    </row>
    <row r="45" spans="1:6" ht="12.75">
      <c r="A45" s="15" t="s">
        <v>30</v>
      </c>
      <c r="C45" s="15">
        <v>300</v>
      </c>
      <c r="D45" s="15">
        <v>300</v>
      </c>
      <c r="E45" s="15">
        <v>300</v>
      </c>
      <c r="F45" s="15">
        <v>200</v>
      </c>
    </row>
    <row r="46" spans="1:6" ht="12.75">
      <c r="A46" s="15" t="s">
        <v>31</v>
      </c>
      <c r="C46" s="15">
        <v>500</v>
      </c>
      <c r="D46" s="15">
        <v>500</v>
      </c>
      <c r="E46" s="15">
        <v>400</v>
      </c>
      <c r="F46" s="15">
        <v>400</v>
      </c>
    </row>
    <row r="47" spans="1:6" ht="12.75">
      <c r="A47" s="15" t="s">
        <v>32</v>
      </c>
      <c r="C47" s="15">
        <v>80</v>
      </c>
      <c r="D47" s="15">
        <v>80</v>
      </c>
      <c r="E47" s="15">
        <v>80</v>
      </c>
      <c r="F47" s="15">
        <v>80</v>
      </c>
    </row>
    <row r="48" spans="1:6" ht="12.75">
      <c r="A48" s="15" t="s">
        <v>33</v>
      </c>
      <c r="C48" s="15">
        <v>700</v>
      </c>
      <c r="D48" s="15">
        <v>700</v>
      </c>
      <c r="E48" s="15">
        <v>700</v>
      </c>
      <c r="F48" s="15">
        <v>500</v>
      </c>
    </row>
    <row r="49" spans="1:6" ht="12.75">
      <c r="A49" s="15" t="s">
        <v>34</v>
      </c>
      <c r="C49" s="19">
        <v>50</v>
      </c>
      <c r="D49" s="19">
        <v>50</v>
      </c>
      <c r="E49" s="19">
        <v>50</v>
      </c>
      <c r="F49" s="19">
        <v>100</v>
      </c>
    </row>
    <row r="50" spans="3:6" ht="12.75">
      <c r="C50" s="15">
        <f>SUM(C44:C49)</f>
        <v>2030</v>
      </c>
      <c r="D50" s="15">
        <f>SUM(D44:D49)</f>
        <v>2030</v>
      </c>
      <c r="E50" s="15">
        <f>SUM(E44:E49)</f>
        <v>1930</v>
      </c>
      <c r="F50" s="15">
        <f>SUM(F44:F49)</f>
        <v>1630</v>
      </c>
    </row>
    <row r="52" spans="1:12" ht="12.75">
      <c r="A52" s="22" t="s">
        <v>106</v>
      </c>
      <c r="C52" s="15">
        <f aca="true" t="shared" si="1" ref="C52:F53">+C40+C25+C10</f>
        <v>326</v>
      </c>
      <c r="D52" s="15">
        <f t="shared" si="1"/>
        <v>203</v>
      </c>
      <c r="E52" s="15">
        <f t="shared" si="1"/>
        <v>171</v>
      </c>
      <c r="F52" s="15">
        <f t="shared" si="1"/>
        <v>147</v>
      </c>
      <c r="G52" s="15">
        <f>SUM(C52:F52)</f>
        <v>847</v>
      </c>
      <c r="H52" s="15">
        <f aca="true" t="shared" si="2" ref="H52:K53">+H40+H25+H10</f>
        <v>326</v>
      </c>
      <c r="I52" s="15">
        <f t="shared" si="2"/>
        <v>190</v>
      </c>
      <c r="J52" s="15">
        <f t="shared" si="2"/>
        <v>132</v>
      </c>
      <c r="K52" s="15">
        <f t="shared" si="2"/>
        <v>133</v>
      </c>
      <c r="L52" s="15">
        <f>SUM(H52:K52)</f>
        <v>781</v>
      </c>
    </row>
    <row r="53" spans="1:12" ht="12.75">
      <c r="A53" s="22" t="s">
        <v>104</v>
      </c>
      <c r="C53" s="15">
        <f t="shared" si="1"/>
        <v>7041</v>
      </c>
      <c r="D53" s="15">
        <f t="shared" si="1"/>
        <v>15044</v>
      </c>
      <c r="E53" s="15">
        <f t="shared" si="1"/>
        <v>31668</v>
      </c>
      <c r="F53" s="15">
        <f t="shared" si="1"/>
        <v>81159</v>
      </c>
      <c r="G53" s="15">
        <f>SUM(C53:F53)</f>
        <v>134912</v>
      </c>
      <c r="H53" s="15">
        <f t="shared" si="2"/>
        <v>7502</v>
      </c>
      <c r="I53" s="15">
        <f t="shared" si="2"/>
        <v>16189</v>
      </c>
      <c r="J53" s="15">
        <f t="shared" si="2"/>
        <v>29129</v>
      </c>
      <c r="K53" s="15">
        <f t="shared" si="2"/>
        <v>78178</v>
      </c>
      <c r="L53" s="15">
        <f>SUM(H53:K53)</f>
        <v>130998</v>
      </c>
    </row>
    <row r="54" spans="1:7" ht="12.75">
      <c r="A54" s="22" t="s">
        <v>133</v>
      </c>
      <c r="G54" s="15">
        <f>SUM('Am Ind Schools'!B2:B74)</f>
        <v>11568</v>
      </c>
    </row>
    <row r="55" ht="12.75">
      <c r="G55" s="15">
        <f>+G54+G53</f>
        <v>146480</v>
      </c>
    </row>
    <row r="56" ht="12.75">
      <c r="A56" s="22" t="s">
        <v>99</v>
      </c>
    </row>
  </sheetData>
  <mergeCells count="1">
    <mergeCell ref="A3:F3"/>
  </mergeCells>
  <printOptions gridLines="1"/>
  <pageMargins left="0.75" right="0.75" top="1" bottom="1" header="0.5" footer="0.5"/>
  <pageSetup fitToHeight="1" fitToWidth="1" horizontalDpi="600" verticalDpi="600" orientation="landscape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workbookViewId="0" topLeftCell="A29">
      <selection activeCell="H83" sqref="H83"/>
    </sheetView>
  </sheetViews>
  <sheetFormatPr defaultColWidth="9.140625" defaultRowHeight="12.75"/>
  <cols>
    <col min="1" max="1" width="14.7109375" style="0" customWidth="1"/>
    <col min="2" max="2" width="13.140625" style="0" customWidth="1"/>
    <col min="3" max="3" width="44.00390625" style="0" customWidth="1"/>
    <col min="4" max="4" width="12.28125" style="0" customWidth="1"/>
    <col min="5" max="7" width="12.28125" style="0" bestFit="1" customWidth="1"/>
    <col min="8" max="8" width="16.57421875" style="0" bestFit="1" customWidth="1"/>
    <col min="9" max="9" width="10.7109375" style="0" customWidth="1"/>
  </cols>
  <sheetData>
    <row r="1" spans="1:8" ht="18">
      <c r="A1" s="109" t="s">
        <v>211</v>
      </c>
      <c r="B1" s="109"/>
      <c r="C1" s="109"/>
      <c r="D1" s="109"/>
      <c r="E1" s="109"/>
      <c r="F1" s="109"/>
      <c r="G1" s="109"/>
      <c r="H1" s="109"/>
    </row>
    <row r="2" spans="1:8" ht="13.5" thickBot="1">
      <c r="A2" s="110" t="s">
        <v>244</v>
      </c>
      <c r="B2" s="110"/>
      <c r="C2" s="110"/>
      <c r="D2" s="110"/>
      <c r="E2" s="110"/>
      <c r="F2" s="110"/>
      <c r="G2" s="110"/>
      <c r="H2" s="110"/>
    </row>
    <row r="3" spans="1:8" ht="12.75">
      <c r="A3" s="75" t="s">
        <v>1</v>
      </c>
      <c r="B3" s="76" t="s">
        <v>200</v>
      </c>
      <c r="C3" s="77"/>
      <c r="D3" s="78" t="s">
        <v>130</v>
      </c>
      <c r="E3" s="78" t="s">
        <v>0</v>
      </c>
      <c r="F3" s="78" t="s">
        <v>76</v>
      </c>
      <c r="G3" s="78" t="s">
        <v>77</v>
      </c>
      <c r="H3" s="79" t="s">
        <v>241</v>
      </c>
    </row>
    <row r="4" spans="1:8" ht="12.75">
      <c r="A4" s="80"/>
      <c r="B4" s="81" t="s">
        <v>203</v>
      </c>
      <c r="C4" s="81" t="s">
        <v>205</v>
      </c>
      <c r="D4" s="31">
        <f>(SUM(VSEL!D11:D19)+SUM(VSEL!D36))/VSEL!B5</f>
        <v>6682.088757774507</v>
      </c>
      <c r="E4" s="31">
        <f>(SUM(SEL!D11:D19)+SEL!D36)/SEL!B5</f>
        <v>5850.043017911799</v>
      </c>
      <c r="F4" s="31">
        <f>(SUM(MEL!D10:D19)+MEL!D38)/MEL!B5</f>
        <v>4797.13328473614</v>
      </c>
      <c r="G4" s="31">
        <f>(SUM(LEL!D11:D19)+LEL!D38)/LEL!B5</f>
        <v>4517.086771636754</v>
      </c>
      <c r="H4" s="29">
        <f>SUMPRODUCT(D4:G4,$D$10:$G$10)/SUM($D$10:$G$10)</f>
        <v>4877.133061235999</v>
      </c>
    </row>
    <row r="5" spans="1:8" ht="12.75">
      <c r="A5" s="80"/>
      <c r="B5" s="81" t="s">
        <v>202</v>
      </c>
      <c r="C5" s="81" t="s">
        <v>206</v>
      </c>
      <c r="D5" s="31">
        <f>+(SUM(VSEL!D23:D40)-VSEL!D36)/VSEL!B5+VSEL!D52-'Add Pgms'!B25</f>
        <v>4261.2264123707955</v>
      </c>
      <c r="E5" s="31">
        <f>(SUM(SEL!D23:D41)-SEL!D36)/SEL!B5+SEL!D53-'Add Pgms'!C25</f>
        <v>2574.9103972419052</v>
      </c>
      <c r="F5" s="31">
        <f>(SUM(MEL!D23:D43)-MEL!D38)/MEL!B5+MEL!D55-'Add Pgms'!D25</f>
        <v>1857.2674150123075</v>
      </c>
      <c r="G5" s="31">
        <f>(SUM(LEL!D23:D43)-LEL!D38)/LEL!B5+LEL!D55-'Add Pgms'!E25</f>
        <v>1704.5743351356205</v>
      </c>
      <c r="H5" s="29">
        <f>SUMPRODUCT(D5:G5,$D$10:$G$10)/SUM($D$10:$G$10)</f>
        <v>1986.8854476150004</v>
      </c>
    </row>
    <row r="6" spans="1:8" ht="12.75">
      <c r="A6" s="80"/>
      <c r="B6" s="81" t="s">
        <v>201</v>
      </c>
      <c r="C6" s="81" t="s">
        <v>207</v>
      </c>
      <c r="D6" s="31">
        <f>SUM(VSEL!D43:D48)</f>
        <v>1000</v>
      </c>
      <c r="E6" s="31">
        <f>SUM(SEL!D44:D49)</f>
        <v>775</v>
      </c>
      <c r="F6" s="31">
        <f>SUM(MEL!D46:D51)</f>
        <v>775</v>
      </c>
      <c r="G6" s="31">
        <f>SUM(LEL!D46:D51)</f>
        <v>775</v>
      </c>
      <c r="H6" s="29">
        <f>SUMPRODUCT(D6:G6,$D$10:$G$10)/SUM($D$10:$G$10)</f>
        <v>786.2025050240688</v>
      </c>
    </row>
    <row r="7" spans="1:8" ht="12.75">
      <c r="A7" s="80"/>
      <c r="B7" s="103" t="s">
        <v>242</v>
      </c>
      <c r="C7" s="103" t="s">
        <v>243</v>
      </c>
      <c r="D7" s="31">
        <f>+'Add Pgms'!B25</f>
        <v>572</v>
      </c>
      <c r="E7" s="31">
        <f>+'Add Pgms'!C25</f>
        <v>573</v>
      </c>
      <c r="F7" s="31">
        <f>+'Add Pgms'!D25</f>
        <v>573</v>
      </c>
      <c r="G7" s="31">
        <f>+'Add Pgms'!E25</f>
        <v>580</v>
      </c>
      <c r="H7" s="29">
        <f>SUMPRODUCT(D7:G7,$D$10:$G$10)/SUM($D$10:$G$10)</f>
        <v>576.5009736567432</v>
      </c>
    </row>
    <row r="8" spans="1:8" ht="12.75">
      <c r="A8" s="80"/>
      <c r="B8" s="81"/>
      <c r="C8" s="81" t="s">
        <v>204</v>
      </c>
      <c r="D8" s="83">
        <f>SUM(D4:D7)</f>
        <v>12515.315170145303</v>
      </c>
      <c r="E8" s="83">
        <f>SUM(E4:E7)</f>
        <v>9772.953415153705</v>
      </c>
      <c r="F8" s="83">
        <f>SUM(F4:F7)</f>
        <v>8002.400699748448</v>
      </c>
      <c r="G8" s="83">
        <f>SUM(G4:G7)</f>
        <v>7576.661106772374</v>
      </c>
      <c r="H8" s="29">
        <f>SUMPRODUCT(D8:G8,$D$10:$G$10)/SUM($D$10:$G$10)</f>
        <v>8226.721987531811</v>
      </c>
    </row>
    <row r="9" spans="1:8" ht="12.75">
      <c r="A9" s="80"/>
      <c r="B9" s="81"/>
      <c r="C9" s="81"/>
      <c r="D9" s="81"/>
      <c r="E9" s="81"/>
      <c r="F9" s="81"/>
      <c r="G9" s="81"/>
      <c r="H9" s="82"/>
    </row>
    <row r="10" spans="1:8" ht="12.75">
      <c r="A10" s="80"/>
      <c r="B10" s="81"/>
      <c r="C10" s="81" t="s">
        <v>5</v>
      </c>
      <c r="D10" s="31">
        <f>+'SumPerStudent Costs'!C11</f>
        <v>3196</v>
      </c>
      <c r="E10" s="31">
        <f>+'SumPerStudent Costs'!D11</f>
        <v>7816</v>
      </c>
      <c r="F10" s="31">
        <f>+'SumPerStudent Costs'!E11</f>
        <v>20618</v>
      </c>
      <c r="G10" s="31">
        <f>+'SumPerStudent Costs'!F11</f>
        <v>32561</v>
      </c>
      <c r="H10" s="84">
        <f>SUM(D10:G10)</f>
        <v>64191</v>
      </c>
    </row>
    <row r="11" spans="1:8" ht="12.75">
      <c r="A11" s="80"/>
      <c r="B11" s="81"/>
      <c r="C11" s="81"/>
      <c r="D11" s="81"/>
      <c r="E11" s="81"/>
      <c r="F11" s="81"/>
      <c r="G11" s="81"/>
      <c r="H11" s="84"/>
    </row>
    <row r="12" spans="1:8" ht="12.75">
      <c r="A12" s="80"/>
      <c r="B12" s="81"/>
      <c r="C12" s="81" t="s">
        <v>147</v>
      </c>
      <c r="D12" s="31">
        <f>+D10*D8</f>
        <v>39998947.28378439</v>
      </c>
      <c r="E12" s="31">
        <f>+E10*E8</f>
        <v>76385403.89284135</v>
      </c>
      <c r="F12" s="31">
        <f>+F10*F8</f>
        <v>164993497.62741348</v>
      </c>
      <c r="G12" s="31">
        <f>+G10*G8</f>
        <v>246703662.2976153</v>
      </c>
      <c r="H12" s="84">
        <f>SUM(D12:G12)</f>
        <v>528081511.1016545</v>
      </c>
    </row>
    <row r="13" spans="1:8" ht="12.75">
      <c r="A13" s="80"/>
      <c r="B13" s="81"/>
      <c r="C13" s="81"/>
      <c r="D13" s="81"/>
      <c r="E13" s="81"/>
      <c r="F13" s="81"/>
      <c r="G13" s="81"/>
      <c r="H13" s="82"/>
    </row>
    <row r="14" spans="1:8" ht="12.75">
      <c r="A14" s="80"/>
      <c r="B14" s="81"/>
      <c r="C14" s="81" t="s">
        <v>148</v>
      </c>
      <c r="D14" s="31">
        <f>+VSEL!D56</f>
        <v>11412.403007981247</v>
      </c>
      <c r="E14" s="31">
        <f>+SEL!D57</f>
        <v>12121.951575353123</v>
      </c>
      <c r="F14" s="31">
        <f>+MEL!D59</f>
        <v>10262.218817678435</v>
      </c>
      <c r="G14" s="31">
        <f>+LEL!D59</f>
        <v>11579.355612068748</v>
      </c>
      <c r="H14" s="29">
        <f>SUMPRODUCT(D14:G14,D15:G15)/H15</f>
        <v>11187.168405284121</v>
      </c>
    </row>
    <row r="15" spans="1:8" ht="12.75">
      <c r="A15" s="80"/>
      <c r="B15" s="81"/>
      <c r="C15" s="81" t="s">
        <v>213</v>
      </c>
      <c r="D15" s="31">
        <f>VSEL!N161</f>
        <v>257</v>
      </c>
      <c r="E15" s="31">
        <f>+SEL!N88</f>
        <v>779</v>
      </c>
      <c r="F15" s="31">
        <f>+MEL!N91</f>
        <v>2311</v>
      </c>
      <c r="G15" s="31">
        <f>+LEL!N82</f>
        <v>3446</v>
      </c>
      <c r="H15" s="84">
        <f>SUM(D15:G15)</f>
        <v>6793</v>
      </c>
    </row>
    <row r="16" spans="1:8" ht="12.75">
      <c r="A16" s="80"/>
      <c r="B16" s="81"/>
      <c r="C16" s="81"/>
      <c r="D16" s="81"/>
      <c r="E16" s="81"/>
      <c r="F16" s="81"/>
      <c r="G16" s="81"/>
      <c r="H16" s="82"/>
    </row>
    <row r="17" spans="1:8" ht="12.75">
      <c r="A17" s="80"/>
      <c r="B17" s="81"/>
      <c r="C17" s="81" t="s">
        <v>149</v>
      </c>
      <c r="D17" s="31">
        <f>+D15*D14</f>
        <v>2932987.5730511807</v>
      </c>
      <c r="E17" s="31">
        <f>+E15*E14</f>
        <v>9443000.277200082</v>
      </c>
      <c r="F17" s="31">
        <f>+F15*F14</f>
        <v>23715987.687654864</v>
      </c>
      <c r="G17" s="31">
        <f>+G15*G14</f>
        <v>39902459.439188905</v>
      </c>
      <c r="H17" s="84">
        <f>SUM(D17:G17)</f>
        <v>75994434.97709504</v>
      </c>
    </row>
    <row r="18" spans="1:8" ht="12.75">
      <c r="A18" s="80"/>
      <c r="B18" s="81"/>
      <c r="C18" s="81"/>
      <c r="D18" s="31"/>
      <c r="E18" s="31"/>
      <c r="F18" s="31"/>
      <c r="G18" s="31"/>
      <c r="H18" s="84"/>
    </row>
    <row r="19" spans="1:8" ht="13.5" thickBot="1">
      <c r="A19" s="85"/>
      <c r="B19" s="86"/>
      <c r="C19" s="86" t="s">
        <v>212</v>
      </c>
      <c r="D19" s="87">
        <f>+D17+D12</f>
        <v>42931934.856835574</v>
      </c>
      <c r="E19" s="87">
        <f>+E17+E12</f>
        <v>85828404.17004144</v>
      </c>
      <c r="F19" s="87">
        <f>+F17+F12</f>
        <v>188709485.31506833</v>
      </c>
      <c r="G19" s="87">
        <f>+G17+G12</f>
        <v>286606121.7368042</v>
      </c>
      <c r="H19" s="88">
        <f>SUM(D19:G19)</f>
        <v>604075946.0787495</v>
      </c>
    </row>
    <row r="20" ht="13.5" thickBot="1"/>
    <row r="21" spans="1:8" ht="12.75">
      <c r="A21" s="75" t="s">
        <v>97</v>
      </c>
      <c r="B21" s="76" t="s">
        <v>200</v>
      </c>
      <c r="C21" s="77"/>
      <c r="D21" s="78" t="s">
        <v>130</v>
      </c>
      <c r="E21" s="78" t="s">
        <v>0</v>
      </c>
      <c r="F21" s="78" t="s">
        <v>76</v>
      </c>
      <c r="G21" s="78" t="s">
        <v>77</v>
      </c>
      <c r="H21" s="79" t="s">
        <v>241</v>
      </c>
    </row>
    <row r="22" spans="1:8" ht="12.75">
      <c r="A22" s="80"/>
      <c r="B22" s="81" t="s">
        <v>203</v>
      </c>
      <c r="C22" s="81" t="s">
        <v>205</v>
      </c>
      <c r="D22" s="31">
        <f>(SUM(VSMS!E11:E19)+VSMS!E36)/VSMS!B5</f>
        <v>5182.036442096965</v>
      </c>
      <c r="E22" s="31">
        <f>(SUM(SMS!D10:D19)+SMS!D36)/SMS!B5</f>
        <v>5324.291558189675</v>
      </c>
      <c r="F22" s="31">
        <f>(SUM(MMS!D10:D19)+MMS!D38)/MMS!B5</f>
        <v>4993.61891359691</v>
      </c>
      <c r="G22" s="31">
        <f>(SUM(LMS!D10:D19)+LMS!D38)/LMS!B5</f>
        <v>4434.267303994563</v>
      </c>
      <c r="H22" s="29">
        <f>SUMPRODUCT(D22:G22,$D$28:$G$28)/SUM($D$28:$G$28)</f>
        <v>4674.375871716622</v>
      </c>
    </row>
    <row r="23" spans="1:8" ht="12.75">
      <c r="A23" s="80"/>
      <c r="B23" s="81" t="s">
        <v>202</v>
      </c>
      <c r="C23" s="81" t="s">
        <v>206</v>
      </c>
      <c r="D23" s="31">
        <f>(SUM(VSMS!E23:E40)-VSMS!E36)/VSMS!B5+VSMS!E52-'Add Pgms'!B25</f>
        <v>5281.016381865226</v>
      </c>
      <c r="E23" s="31">
        <f>(SUM(SMS!D23:D41)-SMS!D36)/SMS!B5+SMS!D53-'Add Pgms'!C25</f>
        <v>2802.0627362928726</v>
      </c>
      <c r="F23" s="31">
        <f>(SUM(MMS!D23:D43)-MMS!D38)/MMS!B5+MMS!D55-'Add Pgms'!D25</f>
        <v>2225.5362503428505</v>
      </c>
      <c r="G23" s="31">
        <f>(SUM(LMS!D23:D43)-LMS!D38)/LMS!B5+LMS!D55-'Add Pgms'!E25</f>
        <v>1592.044310821223</v>
      </c>
      <c r="H23" s="29">
        <f>SUMPRODUCT(D23:G23,$D$28:$G$28)/SUM($D$28:$G$28)</f>
        <v>2153.1006234115466</v>
      </c>
    </row>
    <row r="24" spans="1:8" ht="12.75">
      <c r="A24" s="80"/>
      <c r="B24" s="81" t="s">
        <v>201</v>
      </c>
      <c r="C24" s="81" t="s">
        <v>207</v>
      </c>
      <c r="D24" s="31">
        <f>SUM(VSMS!E43:E48)</f>
        <v>1000</v>
      </c>
      <c r="E24" s="31">
        <f>SUM(SMS!D44:D49)</f>
        <v>1250</v>
      </c>
      <c r="F24" s="31">
        <f>SUM(MMS!D46:D51)</f>
        <v>1250</v>
      </c>
      <c r="G24" s="31">
        <f>SUM(LMS!D46:D51)</f>
        <v>1325</v>
      </c>
      <c r="H24" s="29">
        <f>SUMPRODUCT(D24:G24,$D$28:$G$28)/SUM($D$28:$G$28)</f>
        <v>1275.6230091811879</v>
      </c>
    </row>
    <row r="25" spans="1:8" ht="12.75">
      <c r="A25" s="80"/>
      <c r="B25" s="103" t="s">
        <v>242</v>
      </c>
      <c r="C25" s="103" t="s">
        <v>243</v>
      </c>
      <c r="D25" s="31">
        <f>+'Add Pgms'!B25</f>
        <v>572</v>
      </c>
      <c r="E25" s="31">
        <f>+'Add Pgms'!C25</f>
        <v>573</v>
      </c>
      <c r="F25" s="31">
        <f>+'Add Pgms'!D25</f>
        <v>573</v>
      </c>
      <c r="G25" s="31">
        <f>+'Add Pgms'!E25</f>
        <v>580</v>
      </c>
      <c r="H25" s="29">
        <f>SUMPRODUCT(D25:G25,$D$28:$G$28)/SUM($D$28:$G$28)</f>
        <v>577.5139216788458</v>
      </c>
    </row>
    <row r="26" spans="1:8" ht="12.75">
      <c r="A26" s="80"/>
      <c r="B26" s="81"/>
      <c r="C26" s="81" t="s">
        <v>204</v>
      </c>
      <c r="D26" s="83">
        <f>SUM(D22:D25)</f>
        <v>12035.052823962193</v>
      </c>
      <c r="E26" s="83">
        <f>SUM(E22:E25)</f>
        <v>9949.354294482548</v>
      </c>
      <c r="F26" s="83">
        <f>SUM(F22:F25)</f>
        <v>9042.15516393976</v>
      </c>
      <c r="G26" s="83">
        <f>SUM(G22:G25)</f>
        <v>7931.311614815786</v>
      </c>
      <c r="H26" s="29">
        <f>SUMPRODUCT(D26:G26,$D$28:$G$28)/SUM($D$28:$G$28)</f>
        <v>8680.613425988204</v>
      </c>
    </row>
    <row r="27" spans="1:8" ht="12.75">
      <c r="A27" s="80"/>
      <c r="B27" s="81"/>
      <c r="C27" s="81"/>
      <c r="D27" s="81"/>
      <c r="E27" s="81"/>
      <c r="F27" s="81"/>
      <c r="G27" s="81"/>
      <c r="H27" s="82"/>
    </row>
    <row r="28" spans="1:8" ht="12.75">
      <c r="A28" s="80"/>
      <c r="B28" s="81"/>
      <c r="C28" s="81" t="s">
        <v>5</v>
      </c>
      <c r="D28" s="31">
        <f>+'SumPerStudent Costs'!C26</f>
        <v>2536</v>
      </c>
      <c r="E28" s="31">
        <f>+'SumPerStudent Costs'!D26</f>
        <v>2513</v>
      </c>
      <c r="F28" s="31">
        <f>+'SumPerStudent Costs'!E26</f>
        <v>4066</v>
      </c>
      <c r="G28" s="31">
        <f>+'SumPerStudent Costs'!F26</f>
        <v>17570</v>
      </c>
      <c r="H28" s="84">
        <f>SUM(D28:G28)</f>
        <v>26685</v>
      </c>
    </row>
    <row r="29" spans="1:8" ht="12.75">
      <c r="A29" s="80"/>
      <c r="B29" s="81"/>
      <c r="C29" s="81"/>
      <c r="D29" s="81"/>
      <c r="E29" s="81"/>
      <c r="F29" s="81"/>
      <c r="G29" s="81"/>
      <c r="H29" s="84"/>
    </row>
    <row r="30" spans="1:8" ht="12.75">
      <c r="A30" s="80"/>
      <c r="B30" s="81"/>
      <c r="C30" s="81" t="s">
        <v>147</v>
      </c>
      <c r="D30" s="31">
        <f>+D28*D26</f>
        <v>30520893.96156812</v>
      </c>
      <c r="E30" s="31">
        <f>+E28*E26</f>
        <v>25002727.34203464</v>
      </c>
      <c r="F30" s="31">
        <f>+F28*F26</f>
        <v>36765402.896579064</v>
      </c>
      <c r="G30" s="31">
        <f>+G28*G26</f>
        <v>139353145.07231337</v>
      </c>
      <c r="H30" s="84">
        <f>SUM(D30:G30)</f>
        <v>231642169.2724952</v>
      </c>
    </row>
    <row r="31" spans="1:8" ht="12.75">
      <c r="A31" s="80"/>
      <c r="B31" s="81"/>
      <c r="C31" s="81"/>
      <c r="D31" s="81"/>
      <c r="E31" s="81"/>
      <c r="F31" s="81"/>
      <c r="G31" s="81"/>
      <c r="H31" s="82"/>
    </row>
    <row r="32" spans="1:8" ht="12.75">
      <c r="A32" s="80"/>
      <c r="B32" s="81"/>
      <c r="C32" s="81" t="s">
        <v>148</v>
      </c>
      <c r="D32" s="31">
        <f>+VSMS!E56</f>
        <v>11412.403007981247</v>
      </c>
      <c r="E32" s="31">
        <f>+SMS!D57</f>
        <v>12121.951575353123</v>
      </c>
      <c r="F32" s="31">
        <f>+MMS!D59</f>
        <v>10262.218817678435</v>
      </c>
      <c r="G32" s="31">
        <f>+LMS!D59</f>
        <v>11579.355612068748</v>
      </c>
      <c r="H32" s="29">
        <f>SUMPRODUCT(D32:G32,D33:G33)/H33</f>
        <v>11430.695954174484</v>
      </c>
    </row>
    <row r="33" spans="1:8" ht="12.75">
      <c r="A33" s="80"/>
      <c r="B33" s="81"/>
      <c r="C33" s="81" t="s">
        <v>213</v>
      </c>
      <c r="D33" s="31">
        <f>+VSMS!N109</f>
        <v>307</v>
      </c>
      <c r="E33" s="31">
        <f>+SMS!N37</f>
        <v>320</v>
      </c>
      <c r="F33" s="31">
        <f>+MMS!N28</f>
        <v>456</v>
      </c>
      <c r="G33" s="31">
        <f>+LMS!N36</f>
        <v>2134</v>
      </c>
      <c r="H33" s="84">
        <f>SUM(D33:G33)</f>
        <v>3217</v>
      </c>
    </row>
    <row r="34" spans="1:8" ht="12.75">
      <c r="A34" s="80"/>
      <c r="B34" s="81"/>
      <c r="C34" s="81"/>
      <c r="D34" s="81"/>
      <c r="E34" s="81"/>
      <c r="F34" s="81"/>
      <c r="G34" s="81"/>
      <c r="H34" s="82"/>
    </row>
    <row r="35" spans="1:8" ht="12.75">
      <c r="A35" s="80"/>
      <c r="B35" s="81"/>
      <c r="C35" s="81" t="s">
        <v>149</v>
      </c>
      <c r="D35" s="31">
        <f>+D33*D32</f>
        <v>3503607.723450243</v>
      </c>
      <c r="E35" s="31">
        <f>+E33*E32</f>
        <v>3879024.5041129994</v>
      </c>
      <c r="F35" s="31">
        <f>+F33*F32</f>
        <v>4679571.780861367</v>
      </c>
      <c r="G35" s="31">
        <f>+G33*G32</f>
        <v>24710344.87615471</v>
      </c>
      <c r="H35" s="84">
        <f>SUM(D35:G35)</f>
        <v>36772548.884579316</v>
      </c>
    </row>
    <row r="36" spans="1:8" ht="12.75">
      <c r="A36" s="80"/>
      <c r="B36" s="81"/>
      <c r="C36" s="81"/>
      <c r="D36" s="31"/>
      <c r="E36" s="31"/>
      <c r="F36" s="31"/>
      <c r="G36" s="31"/>
      <c r="H36" s="84"/>
    </row>
    <row r="37" spans="1:8" ht="13.5" thickBot="1">
      <c r="A37" s="85"/>
      <c r="B37" s="86"/>
      <c r="C37" s="86" t="s">
        <v>210</v>
      </c>
      <c r="D37" s="87">
        <f>+D35+D30</f>
        <v>34024501.68501836</v>
      </c>
      <c r="E37" s="87">
        <f>+E35+E30</f>
        <v>28881751.84614764</v>
      </c>
      <c r="F37" s="87">
        <f>+F35+F30</f>
        <v>41444974.677440435</v>
      </c>
      <c r="G37" s="87">
        <f>+G35+G30</f>
        <v>164063489.9484681</v>
      </c>
      <c r="H37" s="88">
        <f>SUM(D37:G37)</f>
        <v>268414718.1570745</v>
      </c>
    </row>
    <row r="38" ht="13.5" thickBot="1"/>
    <row r="39" spans="1:8" ht="12.75">
      <c r="A39" s="75" t="s">
        <v>98</v>
      </c>
      <c r="B39" s="76" t="s">
        <v>200</v>
      </c>
      <c r="C39" s="77"/>
      <c r="D39" s="78" t="s">
        <v>130</v>
      </c>
      <c r="E39" s="78" t="s">
        <v>0</v>
      </c>
      <c r="F39" s="78" t="s">
        <v>76</v>
      </c>
      <c r="G39" s="78" t="s">
        <v>77</v>
      </c>
      <c r="H39" s="79" t="s">
        <v>241</v>
      </c>
    </row>
    <row r="40" spans="1:8" ht="12.75">
      <c r="A40" s="80"/>
      <c r="B40" s="81" t="s">
        <v>203</v>
      </c>
      <c r="C40" s="81" t="s">
        <v>205</v>
      </c>
      <c r="D40" s="31">
        <f>(SUM(VSHS!D10:D19)+VSHS!D36)/VSHS!B5</f>
        <v>8630.005223026043</v>
      </c>
      <c r="E40" s="31">
        <f>(SUM(SHS!D11:D19)+SHS!D36)/SHS!B5</f>
        <v>5072.89930084343</v>
      </c>
      <c r="F40" s="31">
        <f>(SUM(MHS!D10:D19)+MHS!D38)/MHS!B5</f>
        <v>4769.1488399600075</v>
      </c>
      <c r="G40" s="31">
        <f>(SUM(LHS!D10:D19)+LHS!D38)/LHS!B5</f>
        <v>4009.787601033673</v>
      </c>
      <c r="H40" s="29">
        <f>SUMPRODUCT(D40:G40,$D$46:$G$46)/SUM($D$46:$G$46)</f>
        <v>4381.388459977549</v>
      </c>
    </row>
    <row r="41" spans="1:8" ht="12.75">
      <c r="A41" s="80"/>
      <c r="B41" s="81" t="s">
        <v>202</v>
      </c>
      <c r="C41" s="81" t="s">
        <v>206</v>
      </c>
      <c r="D41" s="31">
        <f>(SUM(VSHS!D23:D40)-VSHS!D36)/VSHS!B5+VSHS!D52-'Add Pgms'!B25</f>
        <v>3435.7552977563773</v>
      </c>
      <c r="E41" s="31">
        <f>(SUM(SHS!D23:D41)-SHS!D36)/SHS!B5+SHS!D53-'Add Pgms'!C25</f>
        <v>2384.1909562150267</v>
      </c>
      <c r="F41" s="31">
        <f>(SUM(MHS!D23:D43)-MHS!D38)/MHS!B5+MHS!D55-'Add Pgms'!D25</f>
        <v>2095.134284900558</v>
      </c>
      <c r="G41" s="31">
        <f>(SUM(LHS!D23:D43)-LHS!D38)/LHS!B5+LHS!D55-'Add Pgms'!E25</f>
        <v>1308.0205714589765</v>
      </c>
      <c r="H41" s="29">
        <f>SUMPRODUCT(D41:G41,$D$46:$G$46)/SUM($D$46:$G$46)</f>
        <v>1611.3303701583152</v>
      </c>
    </row>
    <row r="42" spans="1:8" ht="12.75">
      <c r="A42" s="80"/>
      <c r="B42" s="81" t="s">
        <v>201</v>
      </c>
      <c r="C42" s="81" t="s">
        <v>207</v>
      </c>
      <c r="D42" s="31">
        <f>SUM(VSHS!D43:D48)</f>
        <v>2030</v>
      </c>
      <c r="E42" s="31">
        <f>SUM(SHS!D44:D49)</f>
        <v>2030</v>
      </c>
      <c r="F42" s="31">
        <f>SUM(MHS!D46:D51)</f>
        <v>1930</v>
      </c>
      <c r="G42" s="31">
        <f>SUM(LHS!D46:D51)</f>
        <v>1630</v>
      </c>
      <c r="H42" s="29">
        <f>SUMPRODUCT(D42:G42,$D$46:$G$46)/SUM($D$46:$G$46)</f>
        <v>1732.298119720229</v>
      </c>
    </row>
    <row r="43" spans="1:8" ht="12.75">
      <c r="A43" s="80"/>
      <c r="B43" s="103" t="s">
        <v>242</v>
      </c>
      <c r="C43" s="103" t="s">
        <v>243</v>
      </c>
      <c r="D43" s="31">
        <f>+'Add Pgms'!B25</f>
        <v>572</v>
      </c>
      <c r="E43" s="31">
        <f>+'Add Pgms'!C25</f>
        <v>573</v>
      </c>
      <c r="F43" s="31">
        <f>+'Add Pgms'!D25</f>
        <v>573</v>
      </c>
      <c r="G43" s="31">
        <f>+'Add Pgms'!E25</f>
        <v>580</v>
      </c>
      <c r="H43" s="29">
        <f>SUMPRODUCT(D43:G43,$D$46:$G$46)/SUM($D$46:$G$46)</f>
        <v>577.9025115814334</v>
      </c>
    </row>
    <row r="44" spans="1:8" ht="12.75">
      <c r="A44" s="80"/>
      <c r="B44" s="81"/>
      <c r="C44" s="81" t="s">
        <v>204</v>
      </c>
      <c r="D44" s="83">
        <f>SUM(D40:D43)</f>
        <v>14667.76052078242</v>
      </c>
      <c r="E44" s="83">
        <f>SUM(E40:E43)</f>
        <v>10060.090257058457</v>
      </c>
      <c r="F44" s="83">
        <f>SUM(F40:F43)</f>
        <v>9367.283124860565</v>
      </c>
      <c r="G44" s="83">
        <f>SUM(G40:G43)</f>
        <v>7527.80817249265</v>
      </c>
      <c r="H44" s="29">
        <f>SUMPRODUCT(D44:G44,$D$46:$G$46)/SUM($D$46:$G$46)</f>
        <v>8302.919461437526</v>
      </c>
    </row>
    <row r="45" spans="1:8" ht="12.75">
      <c r="A45" s="80"/>
      <c r="B45" s="81"/>
      <c r="C45" s="81"/>
      <c r="D45" s="81"/>
      <c r="E45" s="81"/>
      <c r="F45" s="81"/>
      <c r="G45" s="81"/>
      <c r="H45" s="82"/>
    </row>
    <row r="46" spans="1:8" ht="12.75">
      <c r="A46" s="80"/>
      <c r="B46" s="81"/>
      <c r="C46" s="81" t="s">
        <v>5</v>
      </c>
      <c r="D46" s="31">
        <f>+'SumPerStudent Costs'!C41</f>
        <v>1309</v>
      </c>
      <c r="E46" s="31">
        <f>+'SumPerStudent Costs'!D41</f>
        <v>4715</v>
      </c>
      <c r="F46" s="31">
        <f>+'SumPerStudent Costs'!E41</f>
        <v>6984</v>
      </c>
      <c r="G46" s="31">
        <f>+'SumPerStudent Costs'!F41</f>
        <v>31028</v>
      </c>
      <c r="H46" s="84">
        <f>SUM(D46:G46)</f>
        <v>44036</v>
      </c>
    </row>
    <row r="47" spans="1:8" ht="12.75">
      <c r="A47" s="80"/>
      <c r="B47" s="81"/>
      <c r="C47" s="81"/>
      <c r="D47" s="81"/>
      <c r="E47" s="81"/>
      <c r="F47" s="81"/>
      <c r="G47" s="81"/>
      <c r="H47" s="84"/>
    </row>
    <row r="48" spans="1:8" ht="12.75">
      <c r="A48" s="80"/>
      <c r="B48" s="81"/>
      <c r="C48" s="81" t="s">
        <v>147</v>
      </c>
      <c r="D48" s="31">
        <f>+D46*D44</f>
        <v>19200098.52170419</v>
      </c>
      <c r="E48" s="31">
        <f>+E46*E44</f>
        <v>47433325.56203062</v>
      </c>
      <c r="F48" s="31">
        <f>+F46*F44</f>
        <v>65421105.344026186</v>
      </c>
      <c r="G48" s="31">
        <f>+G46*G44</f>
        <v>233572831.97610193</v>
      </c>
      <c r="H48" s="84">
        <f>SUM(D48:G48)</f>
        <v>365627361.40386295</v>
      </c>
    </row>
    <row r="49" spans="1:8" ht="12.75">
      <c r="A49" s="80"/>
      <c r="B49" s="81"/>
      <c r="C49" s="81"/>
      <c r="D49" s="81"/>
      <c r="E49" s="81"/>
      <c r="F49" s="81"/>
      <c r="G49" s="81"/>
      <c r="H49" s="82"/>
    </row>
    <row r="50" spans="1:8" ht="12.75">
      <c r="A50" s="80"/>
      <c r="B50" s="81"/>
      <c r="C50" s="81" t="s">
        <v>148</v>
      </c>
      <c r="D50" s="31">
        <f>+VSHS!D56</f>
        <v>11412.403007981247</v>
      </c>
      <c r="E50" s="31">
        <f>+SHS!D57</f>
        <v>12121.951575353123</v>
      </c>
      <c r="F50" s="31">
        <f>+MHS!D59</f>
        <v>10262.218817678435</v>
      </c>
      <c r="G50" s="31">
        <f>+LHS!D59</f>
        <v>11579.355612068748</v>
      </c>
      <c r="H50" s="29">
        <f>SUMPRODUCT(D50:G50,D51:G51)/H51</f>
        <v>11463.437807212402</v>
      </c>
    </row>
    <row r="51" spans="1:8" ht="12.75">
      <c r="A51" s="80"/>
      <c r="B51" s="81"/>
      <c r="C51" s="81" t="s">
        <v>213</v>
      </c>
      <c r="D51" s="31">
        <f>+VSHS!N44</f>
        <v>128</v>
      </c>
      <c r="E51" s="31">
        <f>+SHS!N55</f>
        <v>524</v>
      </c>
      <c r="F51" s="31">
        <f>+MHS!N31</f>
        <v>605</v>
      </c>
      <c r="G51" s="31">
        <f>+LHS!N32</f>
        <v>3349</v>
      </c>
      <c r="H51" s="84">
        <f>SUM(D51:G51)</f>
        <v>4606</v>
      </c>
    </row>
    <row r="52" spans="1:8" ht="12.75">
      <c r="A52" s="80"/>
      <c r="B52" s="81"/>
      <c r="C52" s="81"/>
      <c r="D52" s="81"/>
      <c r="E52" s="81"/>
      <c r="F52" s="81"/>
      <c r="G52" s="81"/>
      <c r="H52" s="82"/>
    </row>
    <row r="53" spans="1:8" ht="12.75">
      <c r="A53" s="80"/>
      <c r="B53" s="81"/>
      <c r="C53" s="81" t="s">
        <v>149</v>
      </c>
      <c r="D53" s="31">
        <f>+D51*D50</f>
        <v>1460787.5850215997</v>
      </c>
      <c r="E53" s="31">
        <f>+E51*E50</f>
        <v>6351902.6254850365</v>
      </c>
      <c r="F53" s="31">
        <f>+F51*F50</f>
        <v>6208642.384695453</v>
      </c>
      <c r="G53" s="31">
        <f>+G51*G50</f>
        <v>38779261.944818236</v>
      </c>
      <c r="H53" s="84">
        <f>SUM(D53:G53)</f>
        <v>52800594.540020324</v>
      </c>
    </row>
    <row r="54" spans="1:8" ht="12.75">
      <c r="A54" s="80"/>
      <c r="B54" s="81"/>
      <c r="C54" s="81"/>
      <c r="D54" s="31"/>
      <c r="E54" s="31"/>
      <c r="F54" s="31"/>
      <c r="G54" s="31"/>
      <c r="H54" s="84"/>
    </row>
    <row r="55" spans="1:8" ht="13.5" thickBot="1">
      <c r="A55" s="85"/>
      <c r="B55" s="86"/>
      <c r="C55" s="86" t="s">
        <v>210</v>
      </c>
      <c r="D55" s="87">
        <f>+D53+D48</f>
        <v>20660886.10672579</v>
      </c>
      <c r="E55" s="87">
        <f>+E53+E48</f>
        <v>53785228.18751566</v>
      </c>
      <c r="F55" s="87">
        <f>+F53+F48</f>
        <v>71629747.72872163</v>
      </c>
      <c r="G55" s="87">
        <f>+G53+G48</f>
        <v>272352093.9209202</v>
      </c>
      <c r="H55" s="88">
        <f>SUM(D55:G55)</f>
        <v>418427955.9438833</v>
      </c>
    </row>
    <row r="56" ht="13.5" thickBot="1"/>
    <row r="57" spans="1:8" ht="12.75">
      <c r="A57" s="75" t="s">
        <v>214</v>
      </c>
      <c r="B57" s="77"/>
      <c r="C57" s="77"/>
      <c r="D57" s="77"/>
      <c r="E57" s="77"/>
      <c r="F57" s="77"/>
      <c r="G57" s="77"/>
      <c r="H57" s="89"/>
    </row>
    <row r="58" spans="1:8" ht="12.75">
      <c r="A58" s="80"/>
      <c r="B58" s="81"/>
      <c r="C58" s="81"/>
      <c r="D58" s="74" t="s">
        <v>130</v>
      </c>
      <c r="E58" s="74" t="s">
        <v>0</v>
      </c>
      <c r="F58" s="74" t="s">
        <v>76</v>
      </c>
      <c r="G58" s="74" t="s">
        <v>77</v>
      </c>
      <c r="H58" s="90" t="s">
        <v>173</v>
      </c>
    </row>
    <row r="59" spans="1:8" ht="12.75">
      <c r="A59" s="80"/>
      <c r="B59" s="91" t="s">
        <v>220</v>
      </c>
      <c r="C59" s="81" t="s">
        <v>63</v>
      </c>
      <c r="D59" s="83">
        <f>+D46+D28+D10</f>
        <v>7041</v>
      </c>
      <c r="E59" s="83">
        <f>+E46+E28+E10</f>
        <v>15044</v>
      </c>
      <c r="F59" s="83">
        <f>+F46+F28+F10</f>
        <v>31668</v>
      </c>
      <c r="G59" s="83">
        <f>+G46+G28+G10</f>
        <v>81159</v>
      </c>
      <c r="H59" s="84">
        <f>SUM(D59:G59)</f>
        <v>134912</v>
      </c>
    </row>
    <row r="60" spans="1:8" ht="12.75">
      <c r="A60" s="80"/>
      <c r="B60" s="81"/>
      <c r="C60" s="81" t="s">
        <v>213</v>
      </c>
      <c r="D60" s="83">
        <f>+D51+D33+D15</f>
        <v>692</v>
      </c>
      <c r="E60" s="83">
        <f>+E51+E33+E15</f>
        <v>1623</v>
      </c>
      <c r="F60" s="83">
        <f>+F51+F33+F15</f>
        <v>3372</v>
      </c>
      <c r="G60" s="83">
        <f>+G51+G33+G15</f>
        <v>8929</v>
      </c>
      <c r="H60" s="84">
        <f>SUM(D60:G60)</f>
        <v>14616</v>
      </c>
    </row>
    <row r="61" spans="1:8" ht="12.75">
      <c r="A61" s="80"/>
      <c r="B61" s="81"/>
      <c r="C61" s="81" t="s">
        <v>215</v>
      </c>
      <c r="D61" s="83">
        <f>+D48+D30+D12</f>
        <v>89719939.7670567</v>
      </c>
      <c r="E61" s="83">
        <f>+E48+E30+E12</f>
        <v>148821456.79690662</v>
      </c>
      <c r="F61" s="83">
        <f>+F48+F30+F12</f>
        <v>267180005.86801875</v>
      </c>
      <c r="G61" s="83">
        <f>+G48+G30+G12</f>
        <v>619629639.3460306</v>
      </c>
      <c r="H61" s="84">
        <f>+H48+H30+H12</f>
        <v>1125351041.7780128</v>
      </c>
    </row>
    <row r="62" spans="1:8" ht="12.75">
      <c r="A62" s="80"/>
      <c r="B62" s="81"/>
      <c r="C62" s="81" t="s">
        <v>213</v>
      </c>
      <c r="D62" s="83">
        <f>+D53+D35+D17</f>
        <v>7897382.881523023</v>
      </c>
      <c r="E62" s="83">
        <f>+E53+E35+E17</f>
        <v>19673927.406798117</v>
      </c>
      <c r="F62" s="83">
        <f>+F53+F35+F17</f>
        <v>34604201.853211686</v>
      </c>
      <c r="G62" s="83">
        <f>+G53+G35+G17</f>
        <v>103392066.26016185</v>
      </c>
      <c r="H62" s="84">
        <f>+H53+H35+H17</f>
        <v>165567578.4016947</v>
      </c>
    </row>
    <row r="63" spans="1:8" ht="12.75">
      <c r="A63" s="80"/>
      <c r="B63" s="81"/>
      <c r="C63" s="81"/>
      <c r="D63" s="81"/>
      <c r="E63" s="81"/>
      <c r="F63" s="81"/>
      <c r="G63" s="81"/>
      <c r="H63" s="82"/>
    </row>
    <row r="64" spans="1:8" ht="13.5" thickBot="1">
      <c r="A64" s="85"/>
      <c r="B64" s="86"/>
      <c r="C64" s="86" t="s">
        <v>210</v>
      </c>
      <c r="D64" s="87">
        <f>+D62+D61</f>
        <v>97617322.64857973</v>
      </c>
      <c r="E64" s="87">
        <f>+E62+E61</f>
        <v>168495384.20370474</v>
      </c>
      <c r="F64" s="87">
        <f>+F62+F61</f>
        <v>301784207.72123045</v>
      </c>
      <c r="G64" s="87">
        <f>+G62+G61</f>
        <v>723021705.6061925</v>
      </c>
      <c r="H64" s="92">
        <f>+H62+H61</f>
        <v>1290918620.1797075</v>
      </c>
    </row>
    <row r="65" ht="13.5" thickBot="1"/>
    <row r="66" spans="1:8" ht="12.75">
      <c r="A66" s="75" t="s">
        <v>216</v>
      </c>
      <c r="B66" s="77"/>
      <c r="C66" s="77"/>
      <c r="D66" s="78" t="s">
        <v>1</v>
      </c>
      <c r="E66" s="78" t="s">
        <v>97</v>
      </c>
      <c r="F66" s="78" t="s">
        <v>98</v>
      </c>
      <c r="G66" s="77"/>
      <c r="H66" s="79" t="s">
        <v>173</v>
      </c>
    </row>
    <row r="67" spans="1:8" ht="12.75">
      <c r="A67" s="80"/>
      <c r="B67" s="91" t="s">
        <v>219</v>
      </c>
      <c r="C67" s="81" t="s">
        <v>217</v>
      </c>
      <c r="D67" s="31">
        <f>+'Additional Costs'!B45</f>
        <v>31216</v>
      </c>
      <c r="E67" s="31">
        <f>+'Additional Costs'!C45</f>
        <v>11188</v>
      </c>
      <c r="F67" s="31">
        <f>+'Additional Costs'!D45</f>
        <v>13450</v>
      </c>
      <c r="G67" s="81"/>
      <c r="H67" s="84">
        <f>+SUM(D67:F67)</f>
        <v>55854</v>
      </c>
    </row>
    <row r="68" spans="1:8" ht="12.75">
      <c r="A68" s="80"/>
      <c r="B68" s="81"/>
      <c r="C68" s="81" t="s">
        <v>232</v>
      </c>
      <c r="D68" s="31">
        <f>+'Additional Costs'!B43</f>
        <v>1192.5186006249996</v>
      </c>
      <c r="E68" s="31">
        <f>+'Additional Costs'!C43</f>
        <v>1848.4038309687496</v>
      </c>
      <c r="F68" s="31">
        <f>+'Additional Costs'!D43</f>
        <v>2385.0372012499993</v>
      </c>
      <c r="G68" s="81"/>
      <c r="H68" s="29">
        <f>SUMPRODUCT(D67:F67,D68:F68)/SUM(D67:F67)</f>
        <v>1611.0637206789281</v>
      </c>
    </row>
    <row r="69" spans="1:8" ht="12.75">
      <c r="A69" s="80"/>
      <c r="B69" s="81"/>
      <c r="C69" s="81" t="s">
        <v>218</v>
      </c>
      <c r="D69" s="31">
        <f>+D68*D67</f>
        <v>37225660.63710999</v>
      </c>
      <c r="E69" s="31">
        <f>+E68*E67</f>
        <v>20679942.06087837</v>
      </c>
      <c r="F69" s="31">
        <f>+F68*F67</f>
        <v>32078750.356812492</v>
      </c>
      <c r="G69" s="81"/>
      <c r="H69" s="84">
        <f>SUM(D69:F69)</f>
        <v>89984353.05480085</v>
      </c>
    </row>
    <row r="70" spans="1:8" ht="12.75">
      <c r="A70" s="80"/>
      <c r="B70" s="81"/>
      <c r="C70" s="81"/>
      <c r="D70" s="81"/>
      <c r="E70" s="81"/>
      <c r="F70" s="81"/>
      <c r="G70" s="81"/>
      <c r="H70" s="82"/>
    </row>
    <row r="71" spans="1:8" ht="12.75">
      <c r="A71" s="80"/>
      <c r="B71" s="91" t="s">
        <v>221</v>
      </c>
      <c r="C71" s="81"/>
      <c r="D71" s="81"/>
      <c r="E71" s="81"/>
      <c r="F71" s="81"/>
      <c r="G71" s="81"/>
      <c r="H71" s="29">
        <f>+'Am Ind Schools'!E77</f>
        <v>134903866.5919428</v>
      </c>
    </row>
    <row r="72" spans="1:8" ht="12.75">
      <c r="A72" s="80"/>
      <c r="B72" s="81"/>
      <c r="C72" s="81" t="s">
        <v>233</v>
      </c>
      <c r="D72" s="81"/>
      <c r="E72" s="81"/>
      <c r="F72" s="81"/>
      <c r="G72" s="81"/>
      <c r="H72" s="82"/>
    </row>
    <row r="73" spans="1:8" ht="12.75">
      <c r="A73" s="80"/>
      <c r="B73" s="81"/>
      <c r="C73" s="81"/>
      <c r="D73" s="81"/>
      <c r="E73" s="81"/>
      <c r="F73" s="81"/>
      <c r="G73" s="81"/>
      <c r="H73" s="82"/>
    </row>
    <row r="74" spans="1:8" ht="12.75">
      <c r="A74" s="80"/>
      <c r="B74" s="91" t="s">
        <v>222</v>
      </c>
      <c r="C74" s="81"/>
      <c r="D74" s="81" t="s">
        <v>230</v>
      </c>
      <c r="E74" s="81"/>
      <c r="F74" s="81"/>
      <c r="G74" s="81"/>
      <c r="H74" s="29">
        <f>+'Additional Costs'!B36</f>
        <v>9008793.522045113</v>
      </c>
    </row>
    <row r="75" spans="1:8" ht="12.75">
      <c r="A75" s="80"/>
      <c r="B75" s="81"/>
      <c r="C75" s="81"/>
      <c r="D75" s="81"/>
      <c r="E75" s="81"/>
      <c r="F75" s="81"/>
      <c r="G75" s="81"/>
      <c r="H75" s="82"/>
    </row>
    <row r="76" spans="1:8" ht="12.75">
      <c r="A76" s="80"/>
      <c r="B76" s="91" t="s">
        <v>162</v>
      </c>
      <c r="C76" s="81"/>
      <c r="D76" s="81" t="s">
        <v>231</v>
      </c>
      <c r="E76" s="81"/>
      <c r="F76" s="81"/>
      <c r="G76" s="81"/>
      <c r="H76" s="29">
        <f>+'Additional Costs'!C36</f>
        <v>1785860.8334877668</v>
      </c>
    </row>
    <row r="77" spans="1:8" ht="12.75">
      <c r="A77" s="80"/>
      <c r="B77" s="81"/>
      <c r="C77" s="81"/>
      <c r="D77" s="81"/>
      <c r="E77" s="81"/>
      <c r="F77" s="81"/>
      <c r="G77" s="81"/>
      <c r="H77" s="82"/>
    </row>
    <row r="78" spans="1:8" ht="12.75">
      <c r="A78" s="80"/>
      <c r="B78" s="91" t="s">
        <v>223</v>
      </c>
      <c r="C78" s="81"/>
      <c r="D78" s="81"/>
      <c r="E78" s="81"/>
      <c r="F78" s="81"/>
      <c r="G78" s="81"/>
      <c r="H78" s="82"/>
    </row>
    <row r="79" spans="1:8" ht="12.75">
      <c r="A79" s="80"/>
      <c r="B79" s="81"/>
      <c r="C79" s="81" t="s">
        <v>224</v>
      </c>
      <c r="D79" s="81"/>
      <c r="E79" s="81"/>
      <c r="F79" s="81"/>
      <c r="G79" s="81"/>
      <c r="H79" s="29">
        <v>400</v>
      </c>
    </row>
    <row r="80" spans="1:8" ht="12.75">
      <c r="A80" s="80"/>
      <c r="B80" s="81"/>
      <c r="C80" s="81" t="s">
        <v>225</v>
      </c>
      <c r="D80" s="81"/>
      <c r="E80" s="81"/>
      <c r="F80" s="81"/>
      <c r="G80" s="81"/>
      <c r="H80" s="29">
        <f>+'Additional Costs'!D52</f>
        <v>34559.298263063065</v>
      </c>
    </row>
    <row r="81" spans="1:8" ht="13.5" thickBot="1">
      <c r="A81" s="85"/>
      <c r="B81" s="86"/>
      <c r="C81" s="86" t="s">
        <v>226</v>
      </c>
      <c r="D81" s="86"/>
      <c r="E81" s="86"/>
      <c r="F81" s="86"/>
      <c r="G81" s="86"/>
      <c r="H81" s="88">
        <f>+H80*H79</f>
        <v>13823719.305225225</v>
      </c>
    </row>
    <row r="82" ht="13.5" thickBot="1"/>
    <row r="83" spans="1:8" ht="12.75">
      <c r="A83" s="75" t="s">
        <v>229</v>
      </c>
      <c r="B83" s="77"/>
      <c r="C83" s="77"/>
      <c r="D83" s="77"/>
      <c r="E83" s="77"/>
      <c r="F83" s="77"/>
      <c r="G83" s="77"/>
      <c r="H83" s="93">
        <f>+H81+H76+H74+H71+H69+H64</f>
        <v>1540425213.4872093</v>
      </c>
    </row>
    <row r="84" spans="1:8" ht="12.75">
      <c r="A84" s="80"/>
      <c r="B84" s="81"/>
      <c r="C84" s="81"/>
      <c r="D84" s="81"/>
      <c r="E84" s="81"/>
      <c r="F84" s="81"/>
      <c r="G84" s="81"/>
      <c r="H84" s="82"/>
    </row>
    <row r="85" spans="1:8" ht="12.75">
      <c r="A85" s="94" t="s">
        <v>227</v>
      </c>
      <c r="B85" s="81"/>
      <c r="C85" s="81"/>
      <c r="D85" s="81"/>
      <c r="E85" s="81"/>
      <c r="F85" s="81"/>
      <c r="G85" s="81"/>
      <c r="H85" s="29">
        <v>1200000000</v>
      </c>
    </row>
    <row r="86" spans="1:8" ht="12.75">
      <c r="A86" s="80"/>
      <c r="B86" s="81"/>
      <c r="C86" s="81"/>
      <c r="D86" s="81"/>
      <c r="E86" s="81"/>
      <c r="F86" s="81"/>
      <c r="G86" s="81"/>
      <c r="H86" s="82"/>
    </row>
    <row r="87" spans="1:8" ht="13.5" thickBot="1">
      <c r="A87" s="95" t="s">
        <v>228</v>
      </c>
      <c r="B87" s="86"/>
      <c r="C87" s="86"/>
      <c r="D87" s="86"/>
      <c r="E87" s="86"/>
      <c r="F87" s="86"/>
      <c r="G87" s="86"/>
      <c r="H87" s="92">
        <f>+H83-H85</f>
        <v>340425213.4872093</v>
      </c>
    </row>
  </sheetData>
  <mergeCells count="2">
    <mergeCell ref="A1:H1"/>
    <mergeCell ref="A2:H2"/>
  </mergeCells>
  <printOptions/>
  <pageMargins left="0.5" right="0.25" top="0.5" bottom="0.5" header="0.5" footer="0.5"/>
  <pageSetup fitToHeight="1" fitToWidth="1" horizontalDpi="600" verticalDpi="6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F29"/>
  <sheetViews>
    <sheetView workbookViewId="0" topLeftCell="A1">
      <selection activeCell="I42" sqref="I42"/>
    </sheetView>
  </sheetViews>
  <sheetFormatPr defaultColWidth="9.140625" defaultRowHeight="12.75"/>
  <cols>
    <col min="1" max="1" width="38.8515625" style="0" customWidth="1"/>
    <col min="3" max="5" width="9.28125" style="0" bestFit="1" customWidth="1"/>
    <col min="9" max="9" width="10.7109375" style="0" customWidth="1"/>
  </cols>
  <sheetData>
    <row r="2" ht="13.5" thickBot="1"/>
    <row r="3" spans="1:6" ht="18">
      <c r="A3" s="111" t="s">
        <v>239</v>
      </c>
      <c r="B3" s="112"/>
      <c r="C3" s="112"/>
      <c r="D3" s="112"/>
      <c r="E3" s="112"/>
      <c r="F3" s="113"/>
    </row>
    <row r="4" spans="1:6" ht="12.75">
      <c r="A4" s="80"/>
      <c r="B4" s="81"/>
      <c r="C4" s="81"/>
      <c r="D4" s="81"/>
      <c r="E4" s="81"/>
      <c r="F4" s="82"/>
    </row>
    <row r="5" spans="1:6" ht="12.75">
      <c r="A5" s="80"/>
      <c r="B5" s="81"/>
      <c r="C5" s="81"/>
      <c r="D5" s="81"/>
      <c r="E5" s="81"/>
      <c r="F5" s="82"/>
    </row>
    <row r="6" spans="1:6" ht="12.75">
      <c r="A6" s="96" t="s">
        <v>1</v>
      </c>
      <c r="B6" s="69" t="s">
        <v>130</v>
      </c>
      <c r="C6" s="69" t="s">
        <v>0</v>
      </c>
      <c r="D6" s="69" t="s">
        <v>76</v>
      </c>
      <c r="E6" s="69" t="s">
        <v>77</v>
      </c>
      <c r="F6" s="97" t="s">
        <v>173</v>
      </c>
    </row>
    <row r="7" spans="1:6" ht="12.75">
      <c r="A7" s="30" t="s">
        <v>92</v>
      </c>
      <c r="B7" s="18" t="s">
        <v>93</v>
      </c>
      <c r="C7" s="18" t="s">
        <v>94</v>
      </c>
      <c r="D7" s="18" t="s">
        <v>95</v>
      </c>
      <c r="E7" s="18" t="s">
        <v>96</v>
      </c>
      <c r="F7" s="98"/>
    </row>
    <row r="8" spans="1:6" ht="12.75">
      <c r="A8" s="99" t="s">
        <v>111</v>
      </c>
      <c r="B8" s="31">
        <f>+'SumPerStudent Costs'!C9</f>
        <v>20</v>
      </c>
      <c r="C8" s="31">
        <f>+'SumPerStudent Costs'!D9</f>
        <v>90</v>
      </c>
      <c r="D8" s="31">
        <f>+'SumPerStudent Costs'!E9</f>
        <v>238</v>
      </c>
      <c r="E8" s="31">
        <f>+'SumPerStudent Costs'!F9</f>
        <v>404</v>
      </c>
      <c r="F8" s="100" t="s">
        <v>238</v>
      </c>
    </row>
    <row r="9" spans="1:6" ht="12.75">
      <c r="A9" s="99" t="s">
        <v>112</v>
      </c>
      <c r="B9" s="31">
        <f>+'SumPerStudent Costs'!C10</f>
        <v>171</v>
      </c>
      <c r="C9" s="31">
        <f>+'SumPerStudent Costs'!D10</f>
        <v>99</v>
      </c>
      <c r="D9" s="31">
        <f>+'SumPerStudent Costs'!E10</f>
        <v>106</v>
      </c>
      <c r="E9" s="31">
        <f>+'SumPerStudent Costs'!F10</f>
        <v>80</v>
      </c>
      <c r="F9" s="84">
        <f>SUM(B9:E9)</f>
        <v>456</v>
      </c>
    </row>
    <row r="10" spans="1:6" ht="12.75">
      <c r="A10" s="99" t="s">
        <v>234</v>
      </c>
      <c r="B10" s="31">
        <f>+'SumPerStudent Costs'!C11</f>
        <v>3196</v>
      </c>
      <c r="C10" s="31">
        <f>+'SumPerStudent Costs'!D11</f>
        <v>7816</v>
      </c>
      <c r="D10" s="31">
        <f>+'SumPerStudent Costs'!E11</f>
        <v>20618</v>
      </c>
      <c r="E10" s="31">
        <f>+'SumPerStudent Costs'!F11</f>
        <v>32561</v>
      </c>
      <c r="F10" s="84">
        <f>SUM(B10:E10)</f>
        <v>64191</v>
      </c>
    </row>
    <row r="11" spans="1:6" ht="12.75">
      <c r="A11" s="99"/>
      <c r="B11" s="81"/>
      <c r="C11" s="81"/>
      <c r="D11" s="81"/>
      <c r="E11" s="81"/>
      <c r="F11" s="82"/>
    </row>
    <row r="12" spans="1:6" ht="12.75">
      <c r="A12" s="101" t="s">
        <v>97</v>
      </c>
      <c r="B12" s="69" t="s">
        <v>130</v>
      </c>
      <c r="C12" s="69" t="s">
        <v>0</v>
      </c>
      <c r="D12" s="69" t="s">
        <v>76</v>
      </c>
      <c r="E12" s="69" t="s">
        <v>77</v>
      </c>
      <c r="F12" s="97" t="s">
        <v>173</v>
      </c>
    </row>
    <row r="13" spans="1:6" ht="12.75">
      <c r="A13" s="30" t="s">
        <v>92</v>
      </c>
      <c r="B13" s="18" t="s">
        <v>93</v>
      </c>
      <c r="C13" s="23" t="s">
        <v>100</v>
      </c>
      <c r="D13" s="23" t="s">
        <v>101</v>
      </c>
      <c r="E13" s="23" t="s">
        <v>107</v>
      </c>
      <c r="F13" s="98"/>
    </row>
    <row r="14" spans="1:6" ht="12.75">
      <c r="A14" s="99" t="s">
        <v>111</v>
      </c>
      <c r="B14" s="31">
        <f>+'SumPerStudent Costs'!C24</f>
        <v>23</v>
      </c>
      <c r="C14" s="31">
        <f>+'SumPerStudent Costs'!D24</f>
        <v>70</v>
      </c>
      <c r="D14" s="31">
        <f>+'SumPerStudent Costs'!E24</f>
        <v>154</v>
      </c>
      <c r="E14" s="31">
        <f>+'SumPerStudent Costs'!F24</f>
        <v>503</v>
      </c>
      <c r="F14" s="100" t="s">
        <v>238</v>
      </c>
    </row>
    <row r="15" spans="1:6" ht="12.75">
      <c r="A15" s="99" t="s">
        <v>112</v>
      </c>
      <c r="B15" s="31">
        <f>+'SumPerStudent Costs'!C25</f>
        <v>109</v>
      </c>
      <c r="C15" s="31">
        <f>+'SumPerStudent Costs'!D25</f>
        <v>46</v>
      </c>
      <c r="D15" s="31">
        <f>+'SumPerStudent Costs'!E25</f>
        <v>29</v>
      </c>
      <c r="E15" s="31">
        <f>+'SumPerStudent Costs'!F25</f>
        <v>35</v>
      </c>
      <c r="F15" s="84">
        <f>SUM(B15:E15)</f>
        <v>219</v>
      </c>
    </row>
    <row r="16" spans="1:6" ht="12.75">
      <c r="A16" s="99" t="s">
        <v>131</v>
      </c>
      <c r="B16" s="31">
        <f>+'SumPerStudent Costs'!C26</f>
        <v>2536</v>
      </c>
      <c r="C16" s="31">
        <f>+'SumPerStudent Costs'!D26</f>
        <v>2513</v>
      </c>
      <c r="D16" s="31">
        <f>+'SumPerStudent Costs'!E26</f>
        <v>4066</v>
      </c>
      <c r="E16" s="31">
        <f>+'SumPerStudent Costs'!F26</f>
        <v>17570</v>
      </c>
      <c r="F16" s="84">
        <f>SUM(B16:E16)</f>
        <v>26685</v>
      </c>
    </row>
    <row r="17" spans="1:6" ht="12.75">
      <c r="A17" s="30"/>
      <c r="B17" s="81"/>
      <c r="C17" s="81"/>
      <c r="D17" s="81"/>
      <c r="E17" s="81"/>
      <c r="F17" s="82"/>
    </row>
    <row r="18" spans="1:6" ht="12.75">
      <c r="A18" s="101" t="s">
        <v>98</v>
      </c>
      <c r="B18" s="69" t="s">
        <v>130</v>
      </c>
      <c r="C18" s="69" t="s">
        <v>0</v>
      </c>
      <c r="D18" s="69" t="s">
        <v>76</v>
      </c>
      <c r="E18" s="69" t="s">
        <v>77</v>
      </c>
      <c r="F18" s="97" t="s">
        <v>173</v>
      </c>
    </row>
    <row r="19" spans="1:6" ht="12.75">
      <c r="A19" s="30" t="s">
        <v>92</v>
      </c>
      <c r="B19" s="18" t="s">
        <v>93</v>
      </c>
      <c r="C19" s="18" t="s">
        <v>94</v>
      </c>
      <c r="D19" s="23" t="s">
        <v>102</v>
      </c>
      <c r="E19" s="24" t="s">
        <v>103</v>
      </c>
      <c r="F19" s="98"/>
    </row>
    <row r="20" spans="1:6" ht="12.75">
      <c r="A20" s="99" t="s">
        <v>111</v>
      </c>
      <c r="B20" s="31">
        <f>+'SumPerStudent Costs'!C39</f>
        <v>34</v>
      </c>
      <c r="C20" s="31">
        <f>+'SumPerStudent Costs'!D39</f>
        <v>93</v>
      </c>
      <c r="D20" s="31">
        <f>+'SumPerStudent Costs'!E39</f>
        <v>240</v>
      </c>
      <c r="E20" s="31">
        <f>+'SumPerStudent Costs'!F39</f>
        <v>998</v>
      </c>
      <c r="F20" s="100" t="s">
        <v>238</v>
      </c>
    </row>
    <row r="21" spans="1:6" ht="12.75">
      <c r="A21" s="99" t="s">
        <v>112</v>
      </c>
      <c r="B21" s="31">
        <f>+'SumPerStudent Costs'!C40</f>
        <v>46</v>
      </c>
      <c r="C21" s="31">
        <f>+'SumPerStudent Costs'!D40</f>
        <v>58</v>
      </c>
      <c r="D21" s="31">
        <f>+'SumPerStudent Costs'!E40</f>
        <v>36</v>
      </c>
      <c r="E21" s="31">
        <f>+'SumPerStudent Costs'!F40</f>
        <v>32</v>
      </c>
      <c r="F21" s="84">
        <f>SUM(B21:E21)</f>
        <v>172</v>
      </c>
    </row>
    <row r="22" spans="1:6" ht="12.75">
      <c r="A22" s="99" t="s">
        <v>234</v>
      </c>
      <c r="B22" s="31">
        <f>+'SumPerStudent Costs'!C41</f>
        <v>1309</v>
      </c>
      <c r="C22" s="31">
        <f>+'SumPerStudent Costs'!D41</f>
        <v>4715</v>
      </c>
      <c r="D22" s="31">
        <f>+'SumPerStudent Costs'!E41</f>
        <v>6984</v>
      </c>
      <c r="E22" s="31">
        <f>+'SumPerStudent Costs'!F41</f>
        <v>31028</v>
      </c>
      <c r="F22" s="84">
        <f>SUM(B22:E22)</f>
        <v>44036</v>
      </c>
    </row>
    <row r="23" spans="1:6" ht="12.75">
      <c r="A23" s="99"/>
      <c r="B23" s="81"/>
      <c r="C23" s="81"/>
      <c r="D23" s="81"/>
      <c r="E23" s="81"/>
      <c r="F23" s="82"/>
    </row>
    <row r="24" spans="1:6" ht="12.75">
      <c r="A24" s="30"/>
      <c r="B24" s="81"/>
      <c r="C24" s="81"/>
      <c r="D24" s="81"/>
      <c r="E24" s="81"/>
      <c r="F24" s="82"/>
    </row>
    <row r="25" spans="1:6" ht="12.75">
      <c r="A25" s="96" t="s">
        <v>235</v>
      </c>
      <c r="B25" s="69" t="s">
        <v>130</v>
      </c>
      <c r="C25" s="69" t="s">
        <v>0</v>
      </c>
      <c r="D25" s="69" t="s">
        <v>76</v>
      </c>
      <c r="E25" s="69" t="s">
        <v>77</v>
      </c>
      <c r="F25" s="97" t="s">
        <v>173</v>
      </c>
    </row>
    <row r="26" spans="1:6" ht="12.75">
      <c r="A26" s="99" t="s">
        <v>237</v>
      </c>
      <c r="B26" s="83">
        <f>+B9+B15+B21</f>
        <v>326</v>
      </c>
      <c r="C26" s="83">
        <f aca="true" t="shared" si="0" ref="C26:E27">+C9+C15+C21</f>
        <v>203</v>
      </c>
      <c r="D26" s="83">
        <f t="shared" si="0"/>
        <v>171</v>
      </c>
      <c r="E26" s="83">
        <f t="shared" si="0"/>
        <v>147</v>
      </c>
      <c r="F26" s="84">
        <f>SUM(B26:E26)</f>
        <v>847</v>
      </c>
    </row>
    <row r="27" spans="1:6" ht="12.75">
      <c r="A27" s="99" t="s">
        <v>104</v>
      </c>
      <c r="B27" s="83">
        <f>+B10+B16+B22</f>
        <v>7041</v>
      </c>
      <c r="C27" s="83">
        <f t="shared" si="0"/>
        <v>15044</v>
      </c>
      <c r="D27" s="83">
        <f t="shared" si="0"/>
        <v>31668</v>
      </c>
      <c r="E27" s="83">
        <f t="shared" si="0"/>
        <v>81159</v>
      </c>
      <c r="F27" s="84">
        <f>SUM(B27:E27)</f>
        <v>134912</v>
      </c>
    </row>
    <row r="28" spans="1:6" ht="12.75">
      <c r="A28" s="99" t="s">
        <v>236</v>
      </c>
      <c r="B28" s="31">
        <f>SUM('Am Ind Schools'!B2:B17)</f>
        <v>393</v>
      </c>
      <c r="C28" s="31">
        <f>SUM('Am Ind Schools'!B18:B43)</f>
        <v>2296</v>
      </c>
      <c r="D28" s="31">
        <f>SUM('Am Ind Schools'!B44:B63)</f>
        <v>4653</v>
      </c>
      <c r="E28" s="31">
        <f>SUM('Am Ind Schools'!B64:B74)</f>
        <v>4226</v>
      </c>
      <c r="F28" s="84">
        <f>SUM(B28:E28)</f>
        <v>11568</v>
      </c>
    </row>
    <row r="29" spans="1:6" ht="13.5" thickBot="1">
      <c r="A29" s="102" t="s">
        <v>104</v>
      </c>
      <c r="B29" s="87">
        <f>+B27+B28</f>
        <v>7434</v>
      </c>
      <c r="C29" s="87">
        <f>+C27+C28</f>
        <v>17340</v>
      </c>
      <c r="D29" s="87">
        <f>+D27+D28</f>
        <v>36321</v>
      </c>
      <c r="E29" s="87">
        <f>+E27+E28</f>
        <v>85385</v>
      </c>
      <c r="F29" s="88">
        <f>+F27+F28</f>
        <v>146480</v>
      </c>
    </row>
  </sheetData>
  <mergeCells count="1"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I42" sqref="I42"/>
    </sheetView>
  </sheetViews>
  <sheetFormatPr defaultColWidth="9.140625" defaultRowHeight="12.75"/>
  <cols>
    <col min="1" max="1" width="17.00390625" style="0" customWidth="1"/>
    <col min="2" max="2" width="10.28125" style="0" bestFit="1" customWidth="1"/>
    <col min="3" max="8" width="12.7109375" style="0" customWidth="1"/>
    <col min="9" max="9" width="10.7109375" style="0" customWidth="1"/>
    <col min="10" max="13" width="12.7109375" style="0" customWidth="1"/>
  </cols>
  <sheetData>
    <row r="1" spans="1:7" ht="15.75">
      <c r="A1" s="114" t="s">
        <v>246</v>
      </c>
      <c r="B1" s="114"/>
      <c r="C1" s="114"/>
      <c r="D1" s="114"/>
      <c r="E1" s="114"/>
      <c r="F1" s="114"/>
      <c r="G1" s="114"/>
    </row>
    <row r="3" spans="2:7" ht="12.75">
      <c r="B3" s="74" t="s">
        <v>190</v>
      </c>
      <c r="C3" s="74" t="s">
        <v>191</v>
      </c>
      <c r="D3" s="74" t="s">
        <v>192</v>
      </c>
      <c r="E3" s="74" t="s">
        <v>77</v>
      </c>
      <c r="F3" s="74" t="s">
        <v>193</v>
      </c>
      <c r="G3" s="73" t="s">
        <v>199</v>
      </c>
    </row>
    <row r="4" spans="1:7" ht="12.75">
      <c r="A4" t="s">
        <v>181</v>
      </c>
      <c r="B4" s="15">
        <v>30875</v>
      </c>
      <c r="C4" s="15">
        <v>35300</v>
      </c>
      <c r="D4" s="15">
        <v>34295</v>
      </c>
      <c r="E4" s="15">
        <v>37602</v>
      </c>
      <c r="F4" s="15">
        <f>SUM(B4:E4)</f>
        <v>138072</v>
      </c>
      <c r="G4" s="15">
        <f>F4/4</f>
        <v>34518</v>
      </c>
    </row>
    <row r="5" spans="1:7" ht="12.75">
      <c r="A5" t="s">
        <v>182</v>
      </c>
      <c r="B5" s="15">
        <v>33777</v>
      </c>
      <c r="C5" s="15">
        <v>32141</v>
      </c>
      <c r="D5" s="15">
        <v>28340</v>
      </c>
      <c r="E5" s="15">
        <v>33928</v>
      </c>
      <c r="F5" s="15">
        <f aca="true" t="shared" si="0" ref="F5:F14">SUM(B5:E5)</f>
        <v>128186</v>
      </c>
      <c r="G5" s="15">
        <f aca="true" t="shared" si="1" ref="G5:G14">F5/4</f>
        <v>32046.5</v>
      </c>
    </row>
    <row r="6" spans="1:7" ht="12.75">
      <c r="A6" t="s">
        <v>183</v>
      </c>
      <c r="B6" s="15">
        <v>34443</v>
      </c>
      <c r="C6" s="15">
        <v>41463</v>
      </c>
      <c r="D6" s="15">
        <v>35925</v>
      </c>
      <c r="E6" s="15">
        <v>43535</v>
      </c>
      <c r="F6" s="15">
        <f t="shared" si="0"/>
        <v>155366</v>
      </c>
      <c r="G6" s="15">
        <f t="shared" si="1"/>
        <v>38841.5</v>
      </c>
    </row>
    <row r="7" spans="1:7" ht="12.75">
      <c r="A7" t="s">
        <v>184</v>
      </c>
      <c r="B7" s="15">
        <v>27960</v>
      </c>
      <c r="C7" s="15">
        <v>27958</v>
      </c>
      <c r="D7" s="15">
        <v>39380</v>
      </c>
      <c r="E7" s="15">
        <v>30444</v>
      </c>
      <c r="F7" s="15">
        <f t="shared" si="0"/>
        <v>125742</v>
      </c>
      <c r="G7" s="15">
        <f t="shared" si="1"/>
        <v>31435.5</v>
      </c>
    </row>
    <row r="8" spans="1:7" ht="12.75">
      <c r="A8" t="s">
        <v>196</v>
      </c>
      <c r="B8" s="15">
        <v>32041</v>
      </c>
      <c r="C8" s="15">
        <v>40868</v>
      </c>
      <c r="D8" s="15">
        <v>39228</v>
      </c>
      <c r="E8" s="15">
        <v>43488</v>
      </c>
      <c r="F8" s="15">
        <f t="shared" si="0"/>
        <v>155625</v>
      </c>
      <c r="G8" s="15">
        <f t="shared" si="1"/>
        <v>38906.25</v>
      </c>
    </row>
    <row r="9" spans="1:7" ht="12.75">
      <c r="A9" t="s">
        <v>85</v>
      </c>
      <c r="B9" s="15">
        <v>42156</v>
      </c>
      <c r="C9" s="15">
        <v>40943</v>
      </c>
      <c r="D9" s="15">
        <v>36666</v>
      </c>
      <c r="E9" s="15">
        <v>41542</v>
      </c>
      <c r="F9" s="15">
        <f t="shared" si="0"/>
        <v>161307</v>
      </c>
      <c r="G9" s="15">
        <f t="shared" si="1"/>
        <v>40326.75</v>
      </c>
    </row>
    <row r="10" spans="1:7" ht="12.75">
      <c r="A10" t="s">
        <v>185</v>
      </c>
      <c r="B10" s="15">
        <v>17122</v>
      </c>
      <c r="C10" s="15">
        <v>18087</v>
      </c>
      <c r="D10" s="15">
        <v>17891</v>
      </c>
      <c r="E10" s="15">
        <v>16462</v>
      </c>
      <c r="F10" s="15">
        <f t="shared" si="0"/>
        <v>69562</v>
      </c>
      <c r="G10" s="15">
        <f t="shared" si="1"/>
        <v>17390.5</v>
      </c>
    </row>
    <row r="11" spans="1:7" ht="12.75">
      <c r="A11" t="s">
        <v>186</v>
      </c>
      <c r="B11" s="15">
        <v>19563</v>
      </c>
      <c r="C11" s="15">
        <v>23344</v>
      </c>
      <c r="D11" s="15">
        <v>20065</v>
      </c>
      <c r="E11" s="15">
        <v>21035</v>
      </c>
      <c r="F11" s="15">
        <f t="shared" si="0"/>
        <v>84007</v>
      </c>
      <c r="G11" s="15">
        <f t="shared" si="1"/>
        <v>21001.75</v>
      </c>
    </row>
    <row r="12" spans="1:7" ht="12.75">
      <c r="A12" t="s">
        <v>187</v>
      </c>
      <c r="B12" s="15">
        <v>43572</v>
      </c>
      <c r="C12" s="15">
        <v>55678</v>
      </c>
      <c r="D12" s="15">
        <v>58223</v>
      </c>
      <c r="E12" s="15">
        <v>64435</v>
      </c>
      <c r="F12" s="15">
        <f t="shared" si="0"/>
        <v>221908</v>
      </c>
      <c r="G12" s="15">
        <f t="shared" si="1"/>
        <v>55477</v>
      </c>
    </row>
    <row r="13" spans="1:7" ht="12.75">
      <c r="A13" t="s">
        <v>188</v>
      </c>
      <c r="B13" s="15">
        <v>50317</v>
      </c>
      <c r="C13" s="15">
        <v>53932</v>
      </c>
      <c r="D13" s="15">
        <v>51974</v>
      </c>
      <c r="E13" s="15">
        <v>62399</v>
      </c>
      <c r="F13" s="15">
        <f t="shared" si="0"/>
        <v>218622</v>
      </c>
      <c r="G13" s="15">
        <f t="shared" si="1"/>
        <v>54655.5</v>
      </c>
    </row>
    <row r="14" spans="1:7" ht="12.75">
      <c r="A14" t="s">
        <v>189</v>
      </c>
      <c r="B14" s="15">
        <v>30875</v>
      </c>
      <c r="C14" s="15">
        <v>35300</v>
      </c>
      <c r="D14" s="15">
        <v>34295</v>
      </c>
      <c r="E14" s="15">
        <v>37602</v>
      </c>
      <c r="F14" s="15">
        <f t="shared" si="0"/>
        <v>138072</v>
      </c>
      <c r="G14" s="15">
        <f t="shared" si="1"/>
        <v>34518</v>
      </c>
    </row>
    <row r="16" spans="2:7" ht="12.75">
      <c r="B16" s="115" t="s">
        <v>194</v>
      </c>
      <c r="C16" s="115"/>
      <c r="D16" s="115"/>
      <c r="E16" s="115"/>
      <c r="F16" t="s">
        <v>157</v>
      </c>
      <c r="G16" s="71">
        <v>0.045</v>
      </c>
    </row>
    <row r="17" spans="2:6" ht="12.75">
      <c r="B17" s="104" t="s">
        <v>195</v>
      </c>
      <c r="C17" s="74" t="s">
        <v>152</v>
      </c>
      <c r="D17" s="74" t="s">
        <v>153</v>
      </c>
      <c r="E17" s="74" t="s">
        <v>154</v>
      </c>
      <c r="F17" s="74" t="s">
        <v>155</v>
      </c>
    </row>
    <row r="18" spans="1:7" ht="12.75">
      <c r="A18" t="s">
        <v>181</v>
      </c>
      <c r="B18" s="72">
        <f>+G4</f>
        <v>34518</v>
      </c>
      <c r="C18" s="15">
        <f>+B18*(1+$G$16)</f>
        <v>36071.31</v>
      </c>
      <c r="D18" s="15">
        <f>+C18*(1+$G$16)</f>
        <v>37694.51895</v>
      </c>
      <c r="E18" s="15">
        <f>+D18*(1+$G$16)</f>
        <v>39390.772302749996</v>
      </c>
      <c r="F18" s="15">
        <f>+E18*(1+$G$16)</f>
        <v>41163.357056373745</v>
      </c>
      <c r="G18" t="s">
        <v>197</v>
      </c>
    </row>
    <row r="19" spans="1:6" ht="12.75">
      <c r="A19" t="s">
        <v>182</v>
      </c>
      <c r="B19" s="72">
        <f aca="true" t="shared" si="2" ref="B19:B28">+G5</f>
        <v>32046.5</v>
      </c>
      <c r="C19" s="15">
        <f aca="true" t="shared" si="3" ref="C19:F28">+B19*(1+$G$16)</f>
        <v>33488.5925</v>
      </c>
      <c r="D19" s="15">
        <f t="shared" si="3"/>
        <v>34995.5791625</v>
      </c>
      <c r="E19" s="15">
        <f t="shared" si="3"/>
        <v>36570.3802248125</v>
      </c>
      <c r="F19" s="15">
        <f t="shared" si="3"/>
        <v>38216.04733492906</v>
      </c>
    </row>
    <row r="20" spans="1:8" ht="12.75">
      <c r="A20" t="s">
        <v>183</v>
      </c>
      <c r="B20" s="72">
        <f t="shared" si="2"/>
        <v>38841.5</v>
      </c>
      <c r="C20" s="15">
        <f t="shared" si="3"/>
        <v>40589.3675</v>
      </c>
      <c r="D20" s="15">
        <f t="shared" si="3"/>
        <v>42415.8890375</v>
      </c>
      <c r="E20" s="15">
        <f t="shared" si="3"/>
        <v>44324.604044187494</v>
      </c>
      <c r="F20" s="15">
        <f t="shared" si="3"/>
        <v>46319.211226175925</v>
      </c>
      <c r="G20" s="71">
        <f>8/188</f>
        <v>0.0425531914893617</v>
      </c>
      <c r="H20" t="s">
        <v>198</v>
      </c>
    </row>
    <row r="21" spans="1:8" ht="12.75">
      <c r="A21" t="s">
        <v>184</v>
      </c>
      <c r="B21" s="72">
        <f t="shared" si="2"/>
        <v>31435.5</v>
      </c>
      <c r="C21" s="15">
        <f t="shared" si="3"/>
        <v>32850.097499999996</v>
      </c>
      <c r="D21" s="15">
        <f t="shared" si="3"/>
        <v>34328.35188749999</v>
      </c>
      <c r="E21" s="15">
        <f t="shared" si="3"/>
        <v>35873.12772243749</v>
      </c>
      <c r="F21" s="15">
        <f t="shared" si="3"/>
        <v>37487.41846994718</v>
      </c>
      <c r="G21" s="15">
        <f>+F18*(1+G20)</f>
        <v>42914.98927153859</v>
      </c>
      <c r="H21" t="s">
        <v>245</v>
      </c>
    </row>
    <row r="22" spans="1:6" ht="12.75">
      <c r="A22" t="s">
        <v>196</v>
      </c>
      <c r="B22" s="72">
        <f t="shared" si="2"/>
        <v>38906.25</v>
      </c>
      <c r="C22" s="15">
        <f t="shared" si="3"/>
        <v>40657.03125</v>
      </c>
      <c r="D22" s="15">
        <f t="shared" si="3"/>
        <v>42486.59765625</v>
      </c>
      <c r="E22" s="15">
        <f t="shared" si="3"/>
        <v>44398.494550781244</v>
      </c>
      <c r="F22" s="15">
        <f t="shared" si="3"/>
        <v>46396.4268055664</v>
      </c>
    </row>
    <row r="23" spans="1:6" ht="12.75">
      <c r="A23" t="s">
        <v>85</v>
      </c>
      <c r="B23" s="72">
        <f t="shared" si="2"/>
        <v>40326.75</v>
      </c>
      <c r="C23" s="15">
        <f t="shared" si="3"/>
        <v>42141.45375</v>
      </c>
      <c r="D23" s="15">
        <f t="shared" si="3"/>
        <v>44037.81916875</v>
      </c>
      <c r="E23" s="15">
        <f t="shared" si="3"/>
        <v>46019.52103134375</v>
      </c>
      <c r="F23" s="15">
        <f t="shared" si="3"/>
        <v>48090.39947775422</v>
      </c>
    </row>
    <row r="24" spans="1:6" ht="12.75">
      <c r="A24" t="s">
        <v>185</v>
      </c>
      <c r="B24" s="72">
        <f t="shared" si="2"/>
        <v>17390.5</v>
      </c>
      <c r="C24" s="15">
        <f t="shared" si="3"/>
        <v>18173.0725</v>
      </c>
      <c r="D24" s="15">
        <f t="shared" si="3"/>
        <v>18990.860762499997</v>
      </c>
      <c r="E24" s="15">
        <f t="shared" si="3"/>
        <v>19845.449496812496</v>
      </c>
      <c r="F24" s="15">
        <f t="shared" si="3"/>
        <v>20738.494724169057</v>
      </c>
    </row>
    <row r="25" spans="1:6" ht="12.75">
      <c r="A25" t="s">
        <v>186</v>
      </c>
      <c r="B25" s="72">
        <f t="shared" si="2"/>
        <v>21001.75</v>
      </c>
      <c r="C25" s="15">
        <f t="shared" si="3"/>
        <v>21946.828749999997</v>
      </c>
      <c r="D25" s="15">
        <f t="shared" si="3"/>
        <v>22934.436043749996</v>
      </c>
      <c r="E25" s="15">
        <f t="shared" si="3"/>
        <v>23966.485665718745</v>
      </c>
      <c r="F25" s="15">
        <f t="shared" si="3"/>
        <v>25044.977520676086</v>
      </c>
    </row>
    <row r="26" spans="1:6" ht="12.75">
      <c r="A26" t="s">
        <v>187</v>
      </c>
      <c r="B26" s="72">
        <f t="shared" si="2"/>
        <v>55477</v>
      </c>
      <c r="C26" s="15">
        <f t="shared" si="3"/>
        <v>57973.465</v>
      </c>
      <c r="D26" s="15">
        <f t="shared" si="3"/>
        <v>60582.27092499999</v>
      </c>
      <c r="E26" s="15">
        <f t="shared" si="3"/>
        <v>63308.473116624984</v>
      </c>
      <c r="F26" s="15">
        <f t="shared" si="3"/>
        <v>66157.3544068731</v>
      </c>
    </row>
    <row r="27" spans="1:6" ht="12.75">
      <c r="A27" t="s">
        <v>188</v>
      </c>
      <c r="B27" s="72">
        <f t="shared" si="2"/>
        <v>54655.5</v>
      </c>
      <c r="C27" s="15">
        <f t="shared" si="3"/>
        <v>57114.9975</v>
      </c>
      <c r="D27" s="15">
        <f t="shared" si="3"/>
        <v>59685.172387499995</v>
      </c>
      <c r="E27" s="15">
        <f t="shared" si="3"/>
        <v>62371.00514493749</v>
      </c>
      <c r="F27" s="15">
        <f t="shared" si="3"/>
        <v>65177.700376459674</v>
      </c>
    </row>
    <row r="28" spans="1:6" ht="12.75">
      <c r="A28" t="s">
        <v>189</v>
      </c>
      <c r="B28" s="72">
        <f t="shared" si="2"/>
        <v>34518</v>
      </c>
      <c r="C28" s="15">
        <f t="shared" si="3"/>
        <v>36071.31</v>
      </c>
      <c r="D28" s="15">
        <f t="shared" si="3"/>
        <v>37694.51895</v>
      </c>
      <c r="E28" s="15">
        <f t="shared" si="3"/>
        <v>39390.772302749996</v>
      </c>
      <c r="F28" s="15">
        <f t="shared" si="3"/>
        <v>41163.357056373745</v>
      </c>
    </row>
  </sheetData>
  <mergeCells count="2">
    <mergeCell ref="A1:G1"/>
    <mergeCell ref="B16:E16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7" sqref="E7"/>
    </sheetView>
  </sheetViews>
  <sheetFormatPr defaultColWidth="9.140625" defaultRowHeight="12.75"/>
  <cols>
    <col min="1" max="1" width="21.140625" style="0" customWidth="1"/>
    <col min="2" max="3" width="14.00390625" style="0" bestFit="1" customWidth="1"/>
    <col min="4" max="4" width="14.28125" style="0" bestFit="1" customWidth="1"/>
    <col min="5" max="5" width="14.00390625" style="0" bestFit="1" customWidth="1"/>
  </cols>
  <sheetData>
    <row r="1" ht="12.75">
      <c r="A1" s="9" t="s">
        <v>150</v>
      </c>
    </row>
    <row r="2" spans="2:5" ht="12.75">
      <c r="B2" t="s">
        <v>130</v>
      </c>
      <c r="C2" t="s">
        <v>0</v>
      </c>
      <c r="D2" t="s">
        <v>76</v>
      </c>
      <c r="E2" t="s">
        <v>77</v>
      </c>
    </row>
    <row r="3" spans="1:9" ht="12.75">
      <c r="A3" t="s">
        <v>151</v>
      </c>
      <c r="B3" s="15">
        <v>1453</v>
      </c>
      <c r="C3" s="15">
        <v>1270</v>
      </c>
      <c r="D3" s="15">
        <v>1069</v>
      </c>
      <c r="E3" s="15">
        <v>935</v>
      </c>
      <c r="G3" t="s">
        <v>157</v>
      </c>
      <c r="I3" s="71">
        <v>0.045</v>
      </c>
    </row>
    <row r="4" spans="1:5" ht="12.75">
      <c r="A4" t="s">
        <v>152</v>
      </c>
      <c r="B4" s="15">
        <f aca="true" t="shared" si="0" ref="B4:E8">+B3*(1+$I$3)</f>
        <v>1518.385</v>
      </c>
      <c r="C4" s="15">
        <f t="shared" si="0"/>
        <v>1327.1499999999999</v>
      </c>
      <c r="D4" s="15">
        <f t="shared" si="0"/>
        <v>1117.105</v>
      </c>
      <c r="E4" s="15">
        <f t="shared" si="0"/>
        <v>977.0749999999999</v>
      </c>
    </row>
    <row r="5" spans="1:5" ht="12.75">
      <c r="A5" t="s">
        <v>153</v>
      </c>
      <c r="B5" s="15">
        <f t="shared" si="0"/>
        <v>1586.712325</v>
      </c>
      <c r="C5" s="15">
        <f t="shared" si="0"/>
        <v>1386.8717499999998</v>
      </c>
      <c r="D5" s="15">
        <f t="shared" si="0"/>
        <v>1167.374725</v>
      </c>
      <c r="E5" s="15">
        <f t="shared" si="0"/>
        <v>1021.0433749999999</v>
      </c>
    </row>
    <row r="6" spans="1:5" ht="12.75">
      <c r="A6" t="s">
        <v>154</v>
      </c>
      <c r="B6" s="15">
        <f t="shared" si="0"/>
        <v>1658.1143796249999</v>
      </c>
      <c r="C6" s="15">
        <f t="shared" si="0"/>
        <v>1449.2809787499996</v>
      </c>
      <c r="D6" s="15">
        <f t="shared" si="0"/>
        <v>1219.9065876249997</v>
      </c>
      <c r="E6" s="15">
        <f t="shared" si="0"/>
        <v>1066.9903268749997</v>
      </c>
    </row>
    <row r="7" spans="1:6" ht="12.75">
      <c r="A7" t="s">
        <v>155</v>
      </c>
      <c r="B7" s="15">
        <f t="shared" si="0"/>
        <v>1732.7295267081247</v>
      </c>
      <c r="C7" s="15">
        <f t="shared" si="0"/>
        <v>1514.4986227937495</v>
      </c>
      <c r="D7" s="15">
        <f t="shared" si="0"/>
        <v>1274.8023840681246</v>
      </c>
      <c r="E7" s="15">
        <f t="shared" si="0"/>
        <v>1115.0048915843747</v>
      </c>
      <c r="F7" t="s">
        <v>158</v>
      </c>
    </row>
    <row r="8" spans="1:5" ht="12.75">
      <c r="A8" t="s">
        <v>156</v>
      </c>
      <c r="B8" s="15">
        <f t="shared" si="0"/>
        <v>1810.70235540999</v>
      </c>
      <c r="C8" s="15">
        <f t="shared" si="0"/>
        <v>1582.651060819468</v>
      </c>
      <c r="D8" s="15">
        <f t="shared" si="0"/>
        <v>1332.1684913511901</v>
      </c>
      <c r="E8" s="15">
        <f t="shared" si="0"/>
        <v>1165.1801117056716</v>
      </c>
    </row>
    <row r="10" ht="12.75">
      <c r="A10" t="s">
        <v>180</v>
      </c>
    </row>
    <row r="11" spans="2:5" ht="12.75">
      <c r="B11" t="s">
        <v>130</v>
      </c>
      <c r="C11" t="s">
        <v>0</v>
      </c>
      <c r="D11" t="s">
        <v>76</v>
      </c>
      <c r="E11" t="s">
        <v>77</v>
      </c>
    </row>
    <row r="12" spans="1:5" ht="12.75">
      <c r="A12" t="s">
        <v>151</v>
      </c>
      <c r="B12" s="15">
        <v>940</v>
      </c>
      <c r="C12" s="15">
        <v>1389</v>
      </c>
      <c r="D12" s="15">
        <v>1389.5</v>
      </c>
      <c r="E12" s="15">
        <v>915</v>
      </c>
    </row>
    <row r="13" spans="1:5" ht="12.75">
      <c r="A13" t="s">
        <v>152</v>
      </c>
      <c r="B13" s="15">
        <f aca="true" t="shared" si="1" ref="B13:E17">+B12*(1+$I$3)</f>
        <v>982.3</v>
      </c>
      <c r="C13" s="15">
        <f t="shared" si="1"/>
        <v>1451.5049999999999</v>
      </c>
      <c r="D13" s="15">
        <f t="shared" si="1"/>
        <v>1452.0275</v>
      </c>
      <c r="E13" s="15">
        <f t="shared" si="1"/>
        <v>956.175</v>
      </c>
    </row>
    <row r="14" spans="1:5" ht="12.75">
      <c r="A14" t="s">
        <v>153</v>
      </c>
      <c r="B14" s="15">
        <f t="shared" si="1"/>
        <v>1026.5034999999998</v>
      </c>
      <c r="C14" s="15">
        <f t="shared" si="1"/>
        <v>1516.8227249999998</v>
      </c>
      <c r="D14" s="15">
        <f t="shared" si="1"/>
        <v>1517.3687374999997</v>
      </c>
      <c r="E14" s="15">
        <f t="shared" si="1"/>
        <v>999.2028749999998</v>
      </c>
    </row>
    <row r="15" spans="1:5" ht="12.75">
      <c r="A15" t="s">
        <v>154</v>
      </c>
      <c r="B15" s="15">
        <f t="shared" si="1"/>
        <v>1072.6961574999998</v>
      </c>
      <c r="C15" s="15">
        <f t="shared" si="1"/>
        <v>1585.0797476249998</v>
      </c>
      <c r="D15" s="15">
        <f t="shared" si="1"/>
        <v>1585.6503306874997</v>
      </c>
      <c r="E15" s="15">
        <f t="shared" si="1"/>
        <v>1044.1670043749998</v>
      </c>
    </row>
    <row r="16" spans="1:6" ht="12.75">
      <c r="A16" t="s">
        <v>155</v>
      </c>
      <c r="B16" s="15">
        <f t="shared" si="1"/>
        <v>1120.9674845874997</v>
      </c>
      <c r="C16" s="15">
        <f t="shared" si="1"/>
        <v>1656.4083362681247</v>
      </c>
      <c r="D16" s="15">
        <f t="shared" si="1"/>
        <v>1657.004595568437</v>
      </c>
      <c r="E16" s="15">
        <f t="shared" si="1"/>
        <v>1091.1545195718747</v>
      </c>
      <c r="F16" t="s">
        <v>158</v>
      </c>
    </row>
    <row r="17" spans="1:5" ht="12.75">
      <c r="A17" t="s">
        <v>156</v>
      </c>
      <c r="B17" s="15">
        <f t="shared" si="1"/>
        <v>1171.411021393937</v>
      </c>
      <c r="C17" s="15">
        <f t="shared" si="1"/>
        <v>1730.9467114001902</v>
      </c>
      <c r="D17" s="15">
        <f t="shared" si="1"/>
        <v>1731.5698023690165</v>
      </c>
      <c r="E17" s="15">
        <f t="shared" si="1"/>
        <v>1140.256472952609</v>
      </c>
    </row>
    <row r="19" ht="12.75">
      <c r="A19" t="s">
        <v>159</v>
      </c>
    </row>
    <row r="20" spans="2:5" ht="12.75">
      <c r="B20" t="s">
        <v>130</v>
      </c>
      <c r="C20" t="s">
        <v>0</v>
      </c>
      <c r="D20" t="s">
        <v>76</v>
      </c>
      <c r="E20" t="s">
        <v>77</v>
      </c>
    </row>
    <row r="21" spans="1:5" ht="12.75">
      <c r="A21" t="s">
        <v>164</v>
      </c>
      <c r="B21" s="15">
        <v>8630</v>
      </c>
      <c r="C21" s="15">
        <v>8776</v>
      </c>
      <c r="D21" s="15">
        <v>7216</v>
      </c>
      <c r="E21" s="15">
        <v>8795</v>
      </c>
    </row>
    <row r="22" spans="1:5" ht="12.75">
      <c r="A22" t="s">
        <v>152</v>
      </c>
      <c r="B22" s="15">
        <f aca="true" t="shared" si="2" ref="B22:E26">+B21*(1+$I$3)</f>
        <v>9018.349999999999</v>
      </c>
      <c r="C22" s="15">
        <f t="shared" si="2"/>
        <v>9170.92</v>
      </c>
      <c r="D22" s="15">
        <f t="shared" si="2"/>
        <v>7540.719999999999</v>
      </c>
      <c r="E22" s="15">
        <f t="shared" si="2"/>
        <v>9190.775</v>
      </c>
    </row>
    <row r="23" spans="1:5" ht="12.75">
      <c r="A23" t="s">
        <v>153</v>
      </c>
      <c r="B23" s="15">
        <f t="shared" si="2"/>
        <v>9424.175749999999</v>
      </c>
      <c r="C23" s="15">
        <f t="shared" si="2"/>
        <v>9583.6114</v>
      </c>
      <c r="D23" s="15">
        <f t="shared" si="2"/>
        <v>7880.052399999999</v>
      </c>
      <c r="E23" s="15">
        <f t="shared" si="2"/>
        <v>9604.359874999998</v>
      </c>
    </row>
    <row r="24" spans="1:5" ht="12.75">
      <c r="A24" t="s">
        <v>154</v>
      </c>
      <c r="B24" s="15">
        <f t="shared" si="2"/>
        <v>9848.263658749998</v>
      </c>
      <c r="C24" s="15">
        <f t="shared" si="2"/>
        <v>10014.873913</v>
      </c>
      <c r="D24" s="15">
        <f t="shared" si="2"/>
        <v>8234.654757999999</v>
      </c>
      <c r="E24" s="15">
        <f t="shared" si="2"/>
        <v>10036.556069374998</v>
      </c>
    </row>
    <row r="25" spans="1:6" ht="12.75">
      <c r="A25" t="s">
        <v>155</v>
      </c>
      <c r="B25" s="15">
        <f t="shared" si="2"/>
        <v>10291.435523393748</v>
      </c>
      <c r="C25" s="15">
        <f t="shared" si="2"/>
        <v>10465.543239084998</v>
      </c>
      <c r="D25" s="15">
        <f t="shared" si="2"/>
        <v>8605.214222109998</v>
      </c>
      <c r="E25" s="15">
        <f t="shared" si="2"/>
        <v>10488.201092496873</v>
      </c>
      <c r="F25" t="s">
        <v>160</v>
      </c>
    </row>
    <row r="26" spans="1:5" ht="12.75">
      <c r="A26" t="s">
        <v>156</v>
      </c>
      <c r="B26" s="15">
        <f t="shared" si="2"/>
        <v>10754.550121946466</v>
      </c>
      <c r="C26" s="15">
        <f t="shared" si="2"/>
        <v>10936.492684843823</v>
      </c>
      <c r="D26" s="15">
        <f t="shared" si="2"/>
        <v>8992.448862104948</v>
      </c>
      <c r="E26" s="15">
        <f t="shared" si="2"/>
        <v>10960.170141659231</v>
      </c>
    </row>
    <row r="28" spans="2:4" ht="12.75">
      <c r="B28" s="10" t="s">
        <v>161</v>
      </c>
      <c r="C28" s="10" t="s">
        <v>162</v>
      </c>
      <c r="D28" s="10" t="s">
        <v>163</v>
      </c>
    </row>
    <row r="29" spans="1:4" ht="12.75">
      <c r="A29" t="s">
        <v>164</v>
      </c>
      <c r="B29" s="15">
        <v>408</v>
      </c>
      <c r="C29" s="15">
        <v>1011</v>
      </c>
      <c r="D29" t="s">
        <v>165</v>
      </c>
    </row>
    <row r="30" spans="1:4" ht="12.75">
      <c r="A30" t="s">
        <v>152</v>
      </c>
      <c r="B30" s="15">
        <f aca="true" t="shared" si="3" ref="B30:C33">+B29*(1+$I$3)</f>
        <v>426.35999999999996</v>
      </c>
      <c r="C30" s="15">
        <f t="shared" si="3"/>
        <v>1056.495</v>
      </c>
      <c r="D30" s="22" t="s">
        <v>166</v>
      </c>
    </row>
    <row r="31" spans="1:4" ht="12.75">
      <c r="A31" t="s">
        <v>153</v>
      </c>
      <c r="B31" s="15">
        <f t="shared" si="3"/>
        <v>445.54619999999994</v>
      </c>
      <c r="C31" s="15">
        <f t="shared" si="3"/>
        <v>1104.037275</v>
      </c>
      <c r="D31" s="15"/>
    </row>
    <row r="32" spans="1:4" ht="12.75">
      <c r="A32" t="s">
        <v>154</v>
      </c>
      <c r="B32" s="15">
        <f t="shared" si="3"/>
        <v>465.5957789999999</v>
      </c>
      <c r="C32" s="15">
        <f t="shared" si="3"/>
        <v>1153.7189523749998</v>
      </c>
      <c r="D32" s="15"/>
    </row>
    <row r="33" spans="1:4" ht="12.75">
      <c r="A33" t="s">
        <v>155</v>
      </c>
      <c r="B33" s="15">
        <f t="shared" si="3"/>
        <v>486.54758905499983</v>
      </c>
      <c r="C33" s="15">
        <f t="shared" si="3"/>
        <v>1205.6363052318748</v>
      </c>
      <c r="D33" s="15"/>
    </row>
    <row r="34" spans="2:5" ht="12.75">
      <c r="B34" s="15">
        <f>B33/8</f>
        <v>60.81844863187498</v>
      </c>
      <c r="C34" s="15">
        <f>C33*0.01</f>
        <v>12.056363052318748</v>
      </c>
      <c r="D34" s="15">
        <f>SUM(B34:C34)</f>
        <v>72.87481168419373</v>
      </c>
      <c r="E34" t="s">
        <v>167</v>
      </c>
    </row>
    <row r="35" spans="1:4" ht="12.75">
      <c r="A35" t="s">
        <v>168</v>
      </c>
      <c r="B35" s="15">
        <v>148126</v>
      </c>
      <c r="C35" s="15">
        <v>148126</v>
      </c>
      <c r="D35" s="15"/>
    </row>
    <row r="36" spans="1:4" ht="12.75">
      <c r="A36" t="s">
        <v>169</v>
      </c>
      <c r="B36" s="15">
        <f>B34*B35</f>
        <v>9008793.522045113</v>
      </c>
      <c r="C36" s="15">
        <f>C34*C35</f>
        <v>1785860.8334877668</v>
      </c>
      <c r="D36" s="15">
        <f>SUM(B36:C36)</f>
        <v>10794654.35553288</v>
      </c>
    </row>
    <row r="37" spans="2:4" ht="12.75">
      <c r="B37" s="15"/>
      <c r="C37" s="15"/>
      <c r="D37" s="15"/>
    </row>
    <row r="38" spans="1:5" ht="12.75">
      <c r="A38" t="s">
        <v>170</v>
      </c>
      <c r="B38" s="25" t="s">
        <v>1</v>
      </c>
      <c r="C38" s="25" t="s">
        <v>97</v>
      </c>
      <c r="D38" s="25" t="s">
        <v>98</v>
      </c>
      <c r="E38" s="25" t="s">
        <v>173</v>
      </c>
    </row>
    <row r="39" spans="1:4" ht="12.75">
      <c r="A39" t="s">
        <v>164</v>
      </c>
      <c r="B39" s="15">
        <v>1000</v>
      </c>
      <c r="C39" s="15">
        <v>1550</v>
      </c>
      <c r="D39" s="15">
        <v>2000</v>
      </c>
    </row>
    <row r="40" spans="1:4" ht="12.75">
      <c r="A40" t="s">
        <v>152</v>
      </c>
      <c r="B40" s="15">
        <f aca="true" t="shared" si="4" ref="B40:D43">+B39*(1+$I$3)</f>
        <v>1045</v>
      </c>
      <c r="C40" s="15">
        <f t="shared" si="4"/>
        <v>1619.75</v>
      </c>
      <c r="D40" s="15">
        <f t="shared" si="4"/>
        <v>2090</v>
      </c>
    </row>
    <row r="41" spans="1:4" ht="12.75">
      <c r="A41" t="s">
        <v>153</v>
      </c>
      <c r="B41" s="15">
        <f t="shared" si="4"/>
        <v>1092.0249999999999</v>
      </c>
      <c r="C41" s="15">
        <f t="shared" si="4"/>
        <v>1692.6387499999998</v>
      </c>
      <c r="D41" s="15">
        <f t="shared" si="4"/>
        <v>2184.0499999999997</v>
      </c>
    </row>
    <row r="42" spans="1:4" ht="12.75">
      <c r="A42" t="s">
        <v>154</v>
      </c>
      <c r="B42" s="15">
        <f t="shared" si="4"/>
        <v>1141.1661249999997</v>
      </c>
      <c r="C42" s="15">
        <f t="shared" si="4"/>
        <v>1768.8074937499998</v>
      </c>
      <c r="D42" s="15">
        <f t="shared" si="4"/>
        <v>2282.3322499999995</v>
      </c>
    </row>
    <row r="43" spans="1:4" ht="12.75">
      <c r="A43" t="s">
        <v>155</v>
      </c>
      <c r="B43" s="15">
        <f t="shared" si="4"/>
        <v>1192.5186006249996</v>
      </c>
      <c r="C43" s="15">
        <f t="shared" si="4"/>
        <v>1848.4038309687496</v>
      </c>
      <c r="D43" s="15">
        <f t="shared" si="4"/>
        <v>2385.0372012499993</v>
      </c>
    </row>
    <row r="45" spans="1:5" ht="12.75">
      <c r="A45" t="s">
        <v>171</v>
      </c>
      <c r="B45" s="15">
        <v>31216</v>
      </c>
      <c r="C45" s="15">
        <v>11188</v>
      </c>
      <c r="D45" s="15">
        <v>13450</v>
      </c>
      <c r="E45" s="15">
        <f>SUM(B45:D45)</f>
        <v>55854</v>
      </c>
    </row>
    <row r="46" spans="1:5" ht="12.75">
      <c r="A46" t="s">
        <v>172</v>
      </c>
      <c r="B46" s="15">
        <f>B43*B45</f>
        <v>37225660.63710999</v>
      </c>
      <c r="C46" s="15">
        <f>C43*C45</f>
        <v>20679942.06087837</v>
      </c>
      <c r="D46" s="15">
        <f>D43*D45</f>
        <v>32078750.356812492</v>
      </c>
      <c r="E46" s="15">
        <f>SUM(B46:D46)</f>
        <v>89984353.05480085</v>
      </c>
    </row>
    <row r="48" ht="12.75">
      <c r="A48" t="s">
        <v>174</v>
      </c>
    </row>
    <row r="50" spans="1:4" ht="12.75">
      <c r="A50" t="s">
        <v>175</v>
      </c>
      <c r="D50" s="15">
        <v>79252</v>
      </c>
    </row>
    <row r="51" spans="1:4" ht="12.75">
      <c r="A51" t="s">
        <v>176</v>
      </c>
      <c r="D51" s="71">
        <v>0.4360684684684685</v>
      </c>
    </row>
    <row r="52" spans="1:4" ht="12.75">
      <c r="A52" t="s">
        <v>177</v>
      </c>
      <c r="D52" s="15">
        <f>D50*D51</f>
        <v>34559.298263063065</v>
      </c>
    </row>
    <row r="53" spans="1:4" ht="12.75">
      <c r="A53" t="s">
        <v>179</v>
      </c>
      <c r="D53" s="15">
        <v>400</v>
      </c>
    </row>
    <row r="54" spans="1:4" ht="12.75">
      <c r="A54" t="s">
        <v>178</v>
      </c>
      <c r="D54" s="15">
        <f>+D53*D52</f>
        <v>13823719.305225225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8">
      <selection activeCell="D24" sqref="D24:D27"/>
    </sheetView>
  </sheetViews>
  <sheetFormatPr defaultColWidth="9.140625" defaultRowHeight="12.75"/>
  <cols>
    <col min="1" max="1" width="24.57421875" style="0" customWidth="1"/>
    <col min="2" max="2" width="13.140625" style="0" customWidth="1"/>
    <col min="3" max="3" width="10.00390625" style="0" customWidth="1"/>
    <col min="4" max="5" width="10.57421875" style="0" customWidth="1"/>
  </cols>
  <sheetData>
    <row r="1" ht="23.25">
      <c r="A1" s="8" t="s">
        <v>62</v>
      </c>
    </row>
    <row r="4" spans="2:4" ht="12.75">
      <c r="B4" t="s">
        <v>63</v>
      </c>
      <c r="C4" t="s">
        <v>6</v>
      </c>
      <c r="D4" t="s">
        <v>64</v>
      </c>
    </row>
    <row r="5" ht="12.75">
      <c r="A5" s="9" t="s">
        <v>1</v>
      </c>
    </row>
    <row r="6" spans="1:4" ht="12.75">
      <c r="A6" t="s">
        <v>65</v>
      </c>
      <c r="B6" s="10"/>
      <c r="C6" s="10" t="s">
        <v>66</v>
      </c>
      <c r="D6" s="10" t="s">
        <v>66</v>
      </c>
    </row>
    <row r="7" spans="1:4" ht="12.75">
      <c r="A7" t="s">
        <v>67</v>
      </c>
      <c r="B7" s="10" t="s">
        <v>66</v>
      </c>
      <c r="C7" s="10"/>
      <c r="D7" s="10"/>
    </row>
    <row r="8" spans="1:4" ht="12.75">
      <c r="A8" t="s">
        <v>68</v>
      </c>
      <c r="B8" s="10" t="s">
        <v>66</v>
      </c>
      <c r="C8" s="10"/>
      <c r="D8" s="10"/>
    </row>
    <row r="9" spans="1:4" ht="12.75">
      <c r="A9" t="s">
        <v>69</v>
      </c>
      <c r="B9" s="10"/>
      <c r="C9" s="10" t="s">
        <v>66</v>
      </c>
      <c r="D9" s="10"/>
    </row>
    <row r="10" spans="1:4" ht="12.75">
      <c r="A10" t="s">
        <v>70</v>
      </c>
      <c r="B10" s="10"/>
      <c r="C10" s="10" t="s">
        <v>66</v>
      </c>
      <c r="D10" s="10" t="s">
        <v>66</v>
      </c>
    </row>
    <row r="11" spans="2:4" ht="12.75">
      <c r="B11" s="10"/>
      <c r="C11" s="10"/>
      <c r="D11" s="10"/>
    </row>
    <row r="12" spans="1:4" ht="12.75">
      <c r="A12" s="9" t="s">
        <v>71</v>
      </c>
      <c r="B12" s="10"/>
      <c r="C12" s="10"/>
      <c r="D12" s="10"/>
    </row>
    <row r="13" spans="1:4" ht="12.75">
      <c r="A13" t="s">
        <v>72</v>
      </c>
      <c r="B13" s="10" t="s">
        <v>66</v>
      </c>
      <c r="C13" s="10"/>
      <c r="D13" s="10"/>
    </row>
    <row r="14" spans="1:4" ht="12.75">
      <c r="A14" t="s">
        <v>69</v>
      </c>
      <c r="B14" s="10"/>
      <c r="C14" s="10" t="s">
        <v>66</v>
      </c>
      <c r="D14" s="10"/>
    </row>
    <row r="15" spans="1:4" ht="12.75">
      <c r="A15" t="s">
        <v>73</v>
      </c>
      <c r="B15" s="10"/>
      <c r="C15" s="10" t="s">
        <v>66</v>
      </c>
      <c r="D15" s="10" t="s">
        <v>66</v>
      </c>
    </row>
    <row r="16" spans="2:4" ht="12.75">
      <c r="B16" s="10"/>
      <c r="C16" s="10"/>
      <c r="D16" s="10"/>
    </row>
    <row r="17" spans="1:4" ht="12.75">
      <c r="A17" s="9" t="s">
        <v>74</v>
      </c>
      <c r="B17" s="10"/>
      <c r="C17" s="10"/>
      <c r="D17" s="10"/>
    </row>
    <row r="18" spans="1:4" ht="12.75">
      <c r="A18" t="s">
        <v>72</v>
      </c>
      <c r="B18" s="10" t="s">
        <v>66</v>
      </c>
      <c r="C18" s="10"/>
      <c r="D18" s="10"/>
    </row>
    <row r="19" spans="1:4" ht="12.75">
      <c r="A19" t="s">
        <v>69</v>
      </c>
      <c r="B19" s="10"/>
      <c r="C19" s="10" t="s">
        <v>66</v>
      </c>
      <c r="D19" s="10"/>
    </row>
    <row r="20" spans="1:4" ht="12.75">
      <c r="A20" t="s">
        <v>73</v>
      </c>
      <c r="B20" s="10"/>
      <c r="C20" s="10" t="s">
        <v>66</v>
      </c>
      <c r="D20" s="10" t="s">
        <v>66</v>
      </c>
    </row>
    <row r="23" spans="1:5" ht="18">
      <c r="A23" s="13" t="s">
        <v>75</v>
      </c>
      <c r="B23" s="12" t="s">
        <v>0</v>
      </c>
      <c r="C23" s="12" t="s">
        <v>76</v>
      </c>
      <c r="D23" s="12" t="s">
        <v>77</v>
      </c>
      <c r="E23" s="12" t="s">
        <v>78</v>
      </c>
    </row>
    <row r="24" spans="1:5" ht="12.75">
      <c r="A24" t="s">
        <v>27</v>
      </c>
      <c r="B24" s="11">
        <v>589</v>
      </c>
      <c r="C24" s="11">
        <v>526</v>
      </c>
      <c r="D24" s="11">
        <v>320</v>
      </c>
      <c r="E24" s="11">
        <v>234</v>
      </c>
    </row>
    <row r="25" spans="1:5" ht="12.75">
      <c r="A25" t="s">
        <v>79</v>
      </c>
      <c r="B25" s="11">
        <v>572</v>
      </c>
      <c r="C25" s="11">
        <v>573</v>
      </c>
      <c r="D25" s="11">
        <v>573</v>
      </c>
      <c r="E25" s="11">
        <v>580</v>
      </c>
    </row>
    <row r="26" spans="1:5" ht="12.75">
      <c r="A26" t="s">
        <v>80</v>
      </c>
      <c r="B26" s="11"/>
      <c r="C26" s="11"/>
      <c r="D26" s="11"/>
      <c r="E26" s="11">
        <v>33</v>
      </c>
    </row>
    <row r="27" spans="1:5" ht="12.75">
      <c r="A27" t="s">
        <v>81</v>
      </c>
      <c r="B27" s="11">
        <v>292</v>
      </c>
      <c r="C27" s="11">
        <v>171</v>
      </c>
      <c r="D27" s="11">
        <v>176</v>
      </c>
      <c r="E27" s="11">
        <v>88</v>
      </c>
    </row>
    <row r="28" spans="2:5" ht="12.75">
      <c r="B28" s="11"/>
      <c r="C28" s="11"/>
      <c r="D28" s="11"/>
      <c r="E28" s="11"/>
    </row>
    <row r="29" spans="1:5" ht="12.75">
      <c r="A29" t="s">
        <v>82</v>
      </c>
      <c r="B29" s="11">
        <v>940</v>
      </c>
      <c r="C29" s="11">
        <v>1389</v>
      </c>
      <c r="D29" s="11">
        <v>2314</v>
      </c>
      <c r="E29" s="11">
        <v>915</v>
      </c>
    </row>
    <row r="30" spans="1:5" ht="12.75">
      <c r="A30" t="s">
        <v>83</v>
      </c>
      <c r="B30" s="11">
        <v>2010</v>
      </c>
      <c r="C30" s="11">
        <v>1688</v>
      </c>
      <c r="D30" s="11">
        <v>1501</v>
      </c>
      <c r="E30" s="11">
        <v>1512</v>
      </c>
    </row>
    <row r="31" spans="2:5" ht="12.75">
      <c r="B31" s="7"/>
      <c r="C31" s="7"/>
      <c r="D31" s="7"/>
      <c r="E31" s="7"/>
    </row>
    <row r="32" ht="12.75">
      <c r="A32" t="s">
        <v>240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workbookViewId="0" topLeftCell="A1">
      <selection activeCell="I42" sqref="I42"/>
    </sheetView>
  </sheetViews>
  <sheetFormatPr defaultColWidth="9.140625" defaultRowHeight="12.75"/>
  <cols>
    <col min="1" max="1" width="20.421875" style="0" customWidth="1"/>
    <col min="4" max="4" width="10.28125" style="15" bestFit="1" customWidth="1"/>
    <col min="5" max="5" width="11.28125" style="15" bestFit="1" customWidth="1"/>
    <col min="9" max="9" width="10.7109375" style="0" customWidth="1"/>
    <col min="12" max="12" width="10.28125" style="15" bestFit="1" customWidth="1"/>
    <col min="13" max="13" width="9.28125" style="0" bestFit="1" customWidth="1"/>
    <col min="14" max="14" width="12.8515625" style="0" bestFit="1" customWidth="1"/>
    <col min="15" max="15" width="10.28125" style="15" bestFit="1" customWidth="1"/>
    <col min="16" max="16" width="14.00390625" style="15" bestFit="1" customWidth="1"/>
    <col min="17" max="17" width="11.28125" style="15" bestFit="1" customWidth="1"/>
  </cols>
  <sheetData>
    <row r="1" spans="1:18" ht="40.5">
      <c r="A1" s="1" t="s">
        <v>114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36</v>
      </c>
      <c r="J2" s="38">
        <v>444</v>
      </c>
      <c r="K2" s="39" t="s">
        <v>120</v>
      </c>
      <c r="L2" s="37">
        <v>5228.46933333333</v>
      </c>
      <c r="M2" s="38">
        <v>37</v>
      </c>
      <c r="N2" s="38">
        <v>2</v>
      </c>
      <c r="O2" s="15">
        <f>+$E$53</f>
        <v>12035.052823962193</v>
      </c>
      <c r="P2" s="15">
        <f aca="true" t="shared" si="0" ref="P2:P65">M2*O2</f>
        <v>445296.9544866011</v>
      </c>
      <c r="Q2" s="15">
        <f aca="true" t="shared" si="1" ref="Q2:Q65">L2*M2</f>
        <v>193453.3653333332</v>
      </c>
    </row>
    <row r="3" spans="1:17" ht="12.75">
      <c r="A3" t="s">
        <v>40</v>
      </c>
      <c r="B3">
        <f>COUNT(M2:M108)</f>
        <v>107</v>
      </c>
      <c r="G3" t="s">
        <v>9</v>
      </c>
      <c r="J3" s="38">
        <v>588</v>
      </c>
      <c r="K3" s="39" t="s">
        <v>120</v>
      </c>
      <c r="L3" s="37">
        <v>10475.5238938053</v>
      </c>
      <c r="M3" s="38">
        <v>11</v>
      </c>
      <c r="N3" s="38">
        <v>3</v>
      </c>
      <c r="O3" s="15">
        <f aca="true" t="shared" si="2" ref="O3:O66">+$E$53</f>
        <v>12035.052823962193</v>
      </c>
      <c r="P3" s="15">
        <f t="shared" si="0"/>
        <v>132385.58106358413</v>
      </c>
      <c r="Q3" s="15">
        <f t="shared" si="1"/>
        <v>115230.7628318583</v>
      </c>
    </row>
    <row r="4" spans="1:17" ht="12.75">
      <c r="A4" t="s">
        <v>88</v>
      </c>
      <c r="J4" s="38">
        <v>681</v>
      </c>
      <c r="K4" s="39" t="s">
        <v>120</v>
      </c>
      <c r="L4" s="37">
        <v>17088.18</v>
      </c>
      <c r="M4" s="38">
        <v>7</v>
      </c>
      <c r="N4" s="38">
        <v>0</v>
      </c>
      <c r="O4" s="15">
        <f t="shared" si="2"/>
        <v>12035.052823962193</v>
      </c>
      <c r="P4" s="15">
        <f t="shared" si="0"/>
        <v>84245.36976773535</v>
      </c>
      <c r="Q4" s="15">
        <f t="shared" si="1"/>
        <v>119617.26000000001</v>
      </c>
    </row>
    <row r="5" spans="1:17" ht="12.75">
      <c r="A5" t="s">
        <v>5</v>
      </c>
      <c r="B5">
        <v>23</v>
      </c>
      <c r="G5">
        <v>32</v>
      </c>
      <c r="J5" s="38">
        <v>1607</v>
      </c>
      <c r="K5" s="39" t="s">
        <v>120</v>
      </c>
      <c r="L5" s="37">
        <v>9220.715</v>
      </c>
      <c r="M5" s="38">
        <v>28</v>
      </c>
      <c r="N5" s="38">
        <v>0</v>
      </c>
      <c r="O5" s="15">
        <f t="shared" si="2"/>
        <v>12035.052823962193</v>
      </c>
      <c r="P5" s="15">
        <f t="shared" si="0"/>
        <v>336981.4790709414</v>
      </c>
      <c r="Q5" s="15">
        <f t="shared" si="1"/>
        <v>258180.02000000002</v>
      </c>
    </row>
    <row r="6" spans="1:17" ht="12.75">
      <c r="A6" t="s">
        <v>6</v>
      </c>
      <c r="B6" s="3">
        <f>B5*C6</f>
        <v>9.522</v>
      </c>
      <c r="C6" s="4">
        <v>0.414</v>
      </c>
      <c r="G6">
        <v>12</v>
      </c>
      <c r="H6" s="4">
        <v>0.375</v>
      </c>
      <c r="J6" s="38">
        <v>1650</v>
      </c>
      <c r="K6" s="39" t="s">
        <v>120</v>
      </c>
      <c r="L6" s="37">
        <v>8829.83133603239</v>
      </c>
      <c r="M6" s="38">
        <v>37</v>
      </c>
      <c r="N6" s="38">
        <v>11</v>
      </c>
      <c r="O6" s="15">
        <f t="shared" si="2"/>
        <v>12035.052823962193</v>
      </c>
      <c r="P6" s="15">
        <f t="shared" si="0"/>
        <v>445296.9544866011</v>
      </c>
      <c r="Q6" s="15">
        <f t="shared" si="1"/>
        <v>326703.75943319843</v>
      </c>
    </row>
    <row r="7" spans="1:17" ht="12.75">
      <c r="A7" t="s">
        <v>7</v>
      </c>
      <c r="B7" s="3">
        <f>B5*C7</f>
        <v>2.0469999999999997</v>
      </c>
      <c r="C7" s="4">
        <v>0.089</v>
      </c>
      <c r="G7">
        <v>4</v>
      </c>
      <c r="H7" s="4">
        <v>0.125</v>
      </c>
      <c r="J7" s="38">
        <v>1667</v>
      </c>
      <c r="K7" s="39" t="s">
        <v>120</v>
      </c>
      <c r="L7" s="37">
        <v>10432.1967647059</v>
      </c>
      <c r="M7" s="38">
        <v>12</v>
      </c>
      <c r="N7" s="38">
        <v>0</v>
      </c>
      <c r="O7" s="15">
        <f t="shared" si="2"/>
        <v>12035.052823962193</v>
      </c>
      <c r="P7" s="15">
        <f t="shared" si="0"/>
        <v>144420.6338875463</v>
      </c>
      <c r="Q7" s="15">
        <f t="shared" si="1"/>
        <v>125186.36117647079</v>
      </c>
    </row>
    <row r="8" spans="1:17" ht="12.75">
      <c r="A8" t="s">
        <v>8</v>
      </c>
      <c r="B8">
        <v>3</v>
      </c>
      <c r="C8" s="4">
        <v>0.125</v>
      </c>
      <c r="G8">
        <v>4</v>
      </c>
      <c r="H8" s="4">
        <v>0.125</v>
      </c>
      <c r="J8" s="38">
        <v>1670</v>
      </c>
      <c r="K8" s="39" t="s">
        <v>120</v>
      </c>
      <c r="L8" s="37">
        <v>10668.4227118644</v>
      </c>
      <c r="M8" s="38">
        <v>17</v>
      </c>
      <c r="N8" s="38">
        <v>0</v>
      </c>
      <c r="O8" s="15">
        <f t="shared" si="2"/>
        <v>12035.052823962193</v>
      </c>
      <c r="P8" s="15">
        <f t="shared" si="0"/>
        <v>204595.89800735726</v>
      </c>
      <c r="Q8" s="15">
        <f t="shared" si="1"/>
        <v>181363.1861016948</v>
      </c>
    </row>
    <row r="9" spans="3:17" ht="12.75">
      <c r="C9" s="4"/>
      <c r="J9" s="38">
        <v>1672</v>
      </c>
      <c r="K9" s="39" t="s">
        <v>120</v>
      </c>
      <c r="L9" s="37">
        <v>9079.34410526316</v>
      </c>
      <c r="M9" s="38">
        <v>28</v>
      </c>
      <c r="N9" s="38">
        <v>1</v>
      </c>
      <c r="O9" s="15">
        <f t="shared" si="2"/>
        <v>12035.052823962193</v>
      </c>
      <c r="P9" s="15">
        <f t="shared" si="0"/>
        <v>336981.4790709414</v>
      </c>
      <c r="Q9" s="15">
        <f t="shared" si="1"/>
        <v>254221.6349473685</v>
      </c>
    </row>
    <row r="10" spans="1:17" ht="12.75">
      <c r="A10" t="s">
        <v>18</v>
      </c>
      <c r="J10" s="38">
        <v>1673</v>
      </c>
      <c r="K10" s="39" t="s">
        <v>120</v>
      </c>
      <c r="L10" s="37">
        <v>8046.47157894737</v>
      </c>
      <c r="M10" s="38">
        <v>28</v>
      </c>
      <c r="N10" s="38">
        <v>0</v>
      </c>
      <c r="O10" s="15">
        <f t="shared" si="2"/>
        <v>12035.052823962193</v>
      </c>
      <c r="P10" s="15">
        <f t="shared" si="0"/>
        <v>336981.4790709414</v>
      </c>
      <c r="Q10" s="15">
        <f t="shared" si="1"/>
        <v>225301.20421052637</v>
      </c>
    </row>
    <row r="11" spans="1:17" ht="12.75">
      <c r="A11" t="s">
        <v>15</v>
      </c>
      <c r="B11" t="s">
        <v>87</v>
      </c>
      <c r="C11">
        <f>23/H11</f>
        <v>1.4375</v>
      </c>
      <c r="D11" s="15">
        <v>42914.98927153859</v>
      </c>
      <c r="E11" s="15">
        <f>C11*D11</f>
        <v>61690.297077836716</v>
      </c>
      <c r="G11">
        <v>2</v>
      </c>
      <c r="H11" s="5">
        <v>16</v>
      </c>
      <c r="J11" s="38">
        <v>1674</v>
      </c>
      <c r="K11" s="39" t="s">
        <v>120</v>
      </c>
      <c r="L11" s="37">
        <v>5917.76342592593</v>
      </c>
      <c r="M11" s="38">
        <v>29</v>
      </c>
      <c r="N11" s="38">
        <v>9</v>
      </c>
      <c r="O11" s="15">
        <f t="shared" si="2"/>
        <v>12035.052823962193</v>
      </c>
      <c r="P11" s="15">
        <f t="shared" si="0"/>
        <v>349016.5318949036</v>
      </c>
      <c r="Q11" s="15">
        <f t="shared" si="1"/>
        <v>171615.13935185198</v>
      </c>
    </row>
    <row r="12" spans="1:17" ht="12.75">
      <c r="A12" t="s">
        <v>16</v>
      </c>
      <c r="C12">
        <f>23/H12</f>
        <v>0.71875</v>
      </c>
      <c r="D12" s="15">
        <v>42914.98927153859</v>
      </c>
      <c r="E12" s="15">
        <f>C12*D12</f>
        <v>30845.148538918358</v>
      </c>
      <c r="G12">
        <v>1</v>
      </c>
      <c r="H12" s="5">
        <v>32</v>
      </c>
      <c r="J12" s="38">
        <v>1675</v>
      </c>
      <c r="K12" s="39" t="s">
        <v>120</v>
      </c>
      <c r="L12" s="37">
        <v>12121.6871559633</v>
      </c>
      <c r="M12" s="38">
        <v>23</v>
      </c>
      <c r="N12" s="38">
        <v>3</v>
      </c>
      <c r="O12" s="15">
        <f t="shared" si="2"/>
        <v>12035.052823962193</v>
      </c>
      <c r="P12" s="15">
        <f t="shared" si="0"/>
        <v>276806.21495113045</v>
      </c>
      <c r="Q12" s="15">
        <f t="shared" si="1"/>
        <v>278798.80458715593</v>
      </c>
    </row>
    <row r="13" spans="3:17" ht="12.75">
      <c r="C13">
        <f>SUM(C11:C12)</f>
        <v>2.15625</v>
      </c>
      <c r="J13" s="38">
        <v>1676</v>
      </c>
      <c r="K13" s="39" t="s">
        <v>120</v>
      </c>
      <c r="L13" s="37">
        <v>7623.19418367347</v>
      </c>
      <c r="M13" s="38">
        <v>27</v>
      </c>
      <c r="N13" s="38">
        <v>3</v>
      </c>
      <c r="O13" s="15">
        <f t="shared" si="2"/>
        <v>12035.052823962193</v>
      </c>
      <c r="P13" s="15">
        <f t="shared" si="0"/>
        <v>324946.4262469792</v>
      </c>
      <c r="Q13" s="15">
        <f t="shared" si="1"/>
        <v>205826.2429591837</v>
      </c>
    </row>
    <row r="14" spans="10:17" ht="12.75">
      <c r="J14" s="38">
        <v>1679</v>
      </c>
      <c r="K14" s="39" t="s">
        <v>120</v>
      </c>
      <c r="L14" s="37">
        <v>8225.23852173913</v>
      </c>
      <c r="M14" s="38">
        <v>24</v>
      </c>
      <c r="N14" s="38">
        <v>3</v>
      </c>
      <c r="O14" s="15">
        <f t="shared" si="2"/>
        <v>12035.052823962193</v>
      </c>
      <c r="P14" s="15">
        <f t="shared" si="0"/>
        <v>288841.2677750926</v>
      </c>
      <c r="Q14" s="15">
        <f t="shared" si="1"/>
        <v>197405.72452173912</v>
      </c>
    </row>
    <row r="15" spans="1:17" ht="12.75">
      <c r="A15" t="s">
        <v>17</v>
      </c>
      <c r="C15">
        <f>23/H15</f>
        <v>0.359375</v>
      </c>
      <c r="D15" s="15">
        <v>20738.494724169057</v>
      </c>
      <c r="E15" s="15">
        <f>C15*D15</f>
        <v>7452.896541498255</v>
      </c>
      <c r="G15">
        <v>0.5</v>
      </c>
      <c r="H15" s="5">
        <v>64</v>
      </c>
      <c r="J15" s="38">
        <v>1680</v>
      </c>
      <c r="K15" s="39" t="s">
        <v>120</v>
      </c>
      <c r="L15" s="37">
        <v>6606.48343434343</v>
      </c>
      <c r="M15" s="38">
        <v>20</v>
      </c>
      <c r="N15" s="38">
        <v>4</v>
      </c>
      <c r="O15" s="15">
        <f t="shared" si="2"/>
        <v>12035.052823962193</v>
      </c>
      <c r="P15" s="15">
        <f t="shared" si="0"/>
        <v>240701.05647924385</v>
      </c>
      <c r="Q15" s="15">
        <f t="shared" si="1"/>
        <v>132129.66868686862</v>
      </c>
    </row>
    <row r="16" spans="8:17" ht="12.75">
      <c r="H16" s="5"/>
      <c r="J16" s="38">
        <v>1681</v>
      </c>
      <c r="K16" s="39" t="s">
        <v>121</v>
      </c>
      <c r="L16" s="37">
        <v>7811.96575342466</v>
      </c>
      <c r="M16" s="38">
        <v>29</v>
      </c>
      <c r="N16" s="38">
        <v>4</v>
      </c>
      <c r="O16" s="15">
        <f t="shared" si="2"/>
        <v>12035.052823962193</v>
      </c>
      <c r="P16" s="15">
        <f t="shared" si="0"/>
        <v>349016.5318949036</v>
      </c>
      <c r="Q16" s="15">
        <f t="shared" si="1"/>
        <v>226547.00684931513</v>
      </c>
    </row>
    <row r="17" spans="1:17" ht="12.75">
      <c r="A17" t="s">
        <v>19</v>
      </c>
      <c r="C17">
        <f>3/H17</f>
        <v>0.1875</v>
      </c>
      <c r="D17" s="15">
        <v>42914.98927153859</v>
      </c>
      <c r="E17" s="15">
        <f>C17*D17</f>
        <v>8046.560488413485</v>
      </c>
      <c r="G17">
        <v>0.25</v>
      </c>
      <c r="H17" s="5">
        <v>16</v>
      </c>
      <c r="J17" s="38">
        <v>1682</v>
      </c>
      <c r="K17" s="39" t="s">
        <v>120</v>
      </c>
      <c r="L17" s="37">
        <v>8058.96915492957</v>
      </c>
      <c r="M17" s="38">
        <v>19</v>
      </c>
      <c r="N17" s="38">
        <v>4</v>
      </c>
      <c r="O17" s="15">
        <f t="shared" si="2"/>
        <v>12035.052823962193</v>
      </c>
      <c r="P17" s="15">
        <f t="shared" si="0"/>
        <v>228666.00365528167</v>
      </c>
      <c r="Q17" s="15">
        <f t="shared" si="1"/>
        <v>153120.41394366184</v>
      </c>
    </row>
    <row r="18" spans="1:17" ht="12.75">
      <c r="A18" t="s">
        <v>16</v>
      </c>
      <c r="G18">
        <v>0</v>
      </c>
      <c r="H18" s="5">
        <v>0</v>
      </c>
      <c r="J18" s="38">
        <v>1683</v>
      </c>
      <c r="K18" s="39" t="s">
        <v>120</v>
      </c>
      <c r="L18" s="37">
        <v>24544.9732</v>
      </c>
      <c r="M18" s="38">
        <v>7</v>
      </c>
      <c r="N18" s="38">
        <v>3</v>
      </c>
      <c r="O18" s="15">
        <f t="shared" si="2"/>
        <v>12035.052823962193</v>
      </c>
      <c r="P18" s="15">
        <f t="shared" si="0"/>
        <v>84245.36976773535</v>
      </c>
      <c r="Q18" s="15">
        <f t="shared" si="1"/>
        <v>171814.8124</v>
      </c>
    </row>
    <row r="19" spans="1:17" ht="12.75">
      <c r="A19" t="s">
        <v>17</v>
      </c>
      <c r="C19">
        <f>3/H19</f>
        <v>0.375</v>
      </c>
      <c r="D19" s="15">
        <v>20738.494724169057</v>
      </c>
      <c r="E19" s="15">
        <f>C19*D19</f>
        <v>7776.935521563397</v>
      </c>
      <c r="G19">
        <v>0.5</v>
      </c>
      <c r="H19" s="5">
        <v>8</v>
      </c>
      <c r="J19" s="38">
        <v>1684</v>
      </c>
      <c r="K19" s="39" t="s">
        <v>120</v>
      </c>
      <c r="L19" s="37">
        <v>23762.3133333333</v>
      </c>
      <c r="M19" s="38">
        <v>1</v>
      </c>
      <c r="N19" s="38">
        <v>0</v>
      </c>
      <c r="O19" s="15">
        <f t="shared" si="2"/>
        <v>12035.052823962193</v>
      </c>
      <c r="P19" s="15">
        <f t="shared" si="0"/>
        <v>12035.052823962193</v>
      </c>
      <c r="Q19" s="15">
        <f t="shared" si="1"/>
        <v>23762.3133333333</v>
      </c>
    </row>
    <row r="20" spans="8:17" ht="12.75">
      <c r="H20" s="5"/>
      <c r="J20" s="38">
        <v>1686</v>
      </c>
      <c r="K20" s="39" t="s">
        <v>120</v>
      </c>
      <c r="L20" s="37">
        <v>8603.77145833333</v>
      </c>
      <c r="M20" s="38">
        <v>13</v>
      </c>
      <c r="N20" s="38">
        <v>0</v>
      </c>
      <c r="O20" s="15">
        <f t="shared" si="2"/>
        <v>12035.052823962193</v>
      </c>
      <c r="P20" s="15">
        <f t="shared" si="0"/>
        <v>156455.6867115085</v>
      </c>
      <c r="Q20" s="15">
        <f t="shared" si="1"/>
        <v>111849.0289583333</v>
      </c>
    </row>
    <row r="21" spans="8:17" ht="12.75">
      <c r="H21" s="5"/>
      <c r="J21" s="38">
        <v>1687</v>
      </c>
      <c r="K21" s="39" t="s">
        <v>120</v>
      </c>
      <c r="L21" s="37">
        <v>15218.9667032967</v>
      </c>
      <c r="M21" s="38">
        <v>12</v>
      </c>
      <c r="N21" s="38">
        <v>0</v>
      </c>
      <c r="O21" s="15">
        <f t="shared" si="2"/>
        <v>12035.052823962193</v>
      </c>
      <c r="P21" s="15">
        <f t="shared" si="0"/>
        <v>144420.6338875463</v>
      </c>
      <c r="Q21" s="15">
        <f t="shared" si="1"/>
        <v>182627.60043956043</v>
      </c>
    </row>
    <row r="22" spans="1:17" ht="12.75">
      <c r="A22" t="s">
        <v>20</v>
      </c>
      <c r="H22" s="5"/>
      <c r="J22" s="38">
        <v>1688</v>
      </c>
      <c r="K22" s="39" t="s">
        <v>120</v>
      </c>
      <c r="L22" s="37">
        <v>8529.00326923077</v>
      </c>
      <c r="M22" s="38">
        <v>9</v>
      </c>
      <c r="N22" s="38">
        <v>0</v>
      </c>
      <c r="O22" s="15">
        <f t="shared" si="2"/>
        <v>12035.052823962193</v>
      </c>
      <c r="P22" s="15">
        <f t="shared" si="0"/>
        <v>108315.47541565973</v>
      </c>
      <c r="Q22" s="15">
        <f t="shared" si="1"/>
        <v>76761.02942307694</v>
      </c>
    </row>
    <row r="23" spans="1:17" ht="12.75">
      <c r="A23" t="s">
        <v>11</v>
      </c>
      <c r="C23">
        <f>23/H23</f>
        <v>0.14375</v>
      </c>
      <c r="D23" s="15">
        <v>46319.211226175925</v>
      </c>
      <c r="E23" s="15">
        <f>C23*D23</f>
        <v>6658.386613762788</v>
      </c>
      <c r="G23">
        <v>0.2</v>
      </c>
      <c r="H23" s="5">
        <v>160</v>
      </c>
      <c r="J23" s="38">
        <v>1689</v>
      </c>
      <c r="K23" s="39" t="s">
        <v>120</v>
      </c>
      <c r="L23" s="37">
        <v>9342.63619047619</v>
      </c>
      <c r="M23" s="38">
        <v>15</v>
      </c>
      <c r="N23" s="38">
        <v>2</v>
      </c>
      <c r="O23" s="15">
        <f t="shared" si="2"/>
        <v>12035.052823962193</v>
      </c>
      <c r="P23" s="15">
        <f t="shared" si="0"/>
        <v>180525.7923594329</v>
      </c>
      <c r="Q23" s="15">
        <f t="shared" si="1"/>
        <v>140139.54285714286</v>
      </c>
    </row>
    <row r="24" spans="8:17" ht="12.75">
      <c r="H24" s="5"/>
      <c r="J24" s="38">
        <v>1690</v>
      </c>
      <c r="K24" s="39" t="s">
        <v>120</v>
      </c>
      <c r="L24" s="37">
        <v>7319.45530120482</v>
      </c>
      <c r="M24" s="38">
        <v>21</v>
      </c>
      <c r="N24" s="38">
        <v>1</v>
      </c>
      <c r="O24" s="15">
        <f t="shared" si="2"/>
        <v>12035.052823962193</v>
      </c>
      <c r="P24" s="15">
        <f t="shared" si="0"/>
        <v>252736.10930320603</v>
      </c>
      <c r="Q24" s="15">
        <f t="shared" si="1"/>
        <v>153708.5613253012</v>
      </c>
    </row>
    <row r="25" spans="8:17" ht="12.75">
      <c r="H25" s="5"/>
      <c r="J25" s="38">
        <v>1691</v>
      </c>
      <c r="K25" s="39" t="s">
        <v>120</v>
      </c>
      <c r="L25" s="37">
        <v>9902.86171428572</v>
      </c>
      <c r="M25" s="38">
        <v>15</v>
      </c>
      <c r="N25" s="38">
        <v>0</v>
      </c>
      <c r="O25" s="15">
        <f t="shared" si="2"/>
        <v>12035.052823962193</v>
      </c>
      <c r="P25" s="15">
        <f t="shared" si="0"/>
        <v>180525.7923594329</v>
      </c>
      <c r="Q25" s="15">
        <f t="shared" si="1"/>
        <v>148542.9257142858</v>
      </c>
    </row>
    <row r="26" spans="1:17" ht="12.75">
      <c r="A26" t="s">
        <v>19</v>
      </c>
      <c r="J26" s="38">
        <v>1693</v>
      </c>
      <c r="K26" s="39" t="s">
        <v>120</v>
      </c>
      <c r="L26" s="37">
        <v>6495.46355769231</v>
      </c>
      <c r="M26" s="38">
        <v>30</v>
      </c>
      <c r="N26" s="38">
        <v>3</v>
      </c>
      <c r="O26" s="15">
        <f t="shared" si="2"/>
        <v>12035.052823962193</v>
      </c>
      <c r="P26" s="15">
        <f t="shared" si="0"/>
        <v>361051.5847188658</v>
      </c>
      <c r="Q26" s="15">
        <f t="shared" si="1"/>
        <v>194863.90673076932</v>
      </c>
    </row>
    <row r="27" spans="1:17" ht="12.75">
      <c r="A27" s="6" t="s">
        <v>22</v>
      </c>
      <c r="C27">
        <f>23/H27</f>
        <v>0.575</v>
      </c>
      <c r="D27" s="15">
        <v>46396.4268055664</v>
      </c>
      <c r="E27" s="15">
        <f>C27*D27</f>
        <v>26677.94541320068</v>
      </c>
      <c r="G27">
        <v>0.1</v>
      </c>
      <c r="H27" s="5">
        <v>40</v>
      </c>
      <c r="J27" s="38">
        <v>1694</v>
      </c>
      <c r="K27" s="39" t="s">
        <v>120</v>
      </c>
      <c r="L27" s="37">
        <v>5602.25603550296</v>
      </c>
      <c r="M27" s="38">
        <v>44</v>
      </c>
      <c r="N27" s="38">
        <v>0</v>
      </c>
      <c r="O27" s="15">
        <f t="shared" si="2"/>
        <v>12035.052823962193</v>
      </c>
      <c r="P27" s="15">
        <f t="shared" si="0"/>
        <v>529542.3242543365</v>
      </c>
      <c r="Q27" s="15">
        <f t="shared" si="1"/>
        <v>246499.26556213025</v>
      </c>
    </row>
    <row r="28" spans="1:17" ht="12.75">
      <c r="A28" t="s">
        <v>23</v>
      </c>
      <c r="C28">
        <f>23/H28</f>
        <v>0.575</v>
      </c>
      <c r="D28" s="15">
        <v>48090.39947775422</v>
      </c>
      <c r="E28" s="15">
        <f>C28*D28</f>
        <v>27651.979699708674</v>
      </c>
      <c r="G28">
        <v>0.1</v>
      </c>
      <c r="H28" s="5">
        <v>40</v>
      </c>
      <c r="J28" s="38">
        <v>1695</v>
      </c>
      <c r="K28" s="39" t="s">
        <v>120</v>
      </c>
      <c r="L28" s="37">
        <v>6769.34333333333</v>
      </c>
      <c r="M28" s="38">
        <v>48</v>
      </c>
      <c r="N28" s="38">
        <v>5</v>
      </c>
      <c r="O28" s="15">
        <f t="shared" si="2"/>
        <v>12035.052823962193</v>
      </c>
      <c r="P28" s="15">
        <f t="shared" si="0"/>
        <v>577682.5355501852</v>
      </c>
      <c r="Q28" s="15">
        <f t="shared" si="1"/>
        <v>324928.4799999998</v>
      </c>
    </row>
    <row r="29" spans="8:17" ht="12.75">
      <c r="H29" s="5"/>
      <c r="J29" s="38">
        <v>1696</v>
      </c>
      <c r="K29" s="39" t="s">
        <v>120</v>
      </c>
      <c r="L29" s="37">
        <v>5406.6629245283</v>
      </c>
      <c r="M29" s="38">
        <v>34</v>
      </c>
      <c r="N29" s="38">
        <v>3</v>
      </c>
      <c r="O29" s="15">
        <f t="shared" si="2"/>
        <v>12035.052823962193</v>
      </c>
      <c r="P29" s="15">
        <f t="shared" si="0"/>
        <v>409191.7960147145</v>
      </c>
      <c r="Q29" s="15">
        <f t="shared" si="1"/>
        <v>183826.5394339622</v>
      </c>
    </row>
    <row r="30" spans="8:17" ht="12.75">
      <c r="H30" s="5"/>
      <c r="J30" s="38">
        <v>1697</v>
      </c>
      <c r="K30" s="39" t="s">
        <v>120</v>
      </c>
      <c r="L30" s="37">
        <v>5860.21288288288</v>
      </c>
      <c r="M30" s="38">
        <v>26</v>
      </c>
      <c r="N30" s="38">
        <v>3</v>
      </c>
      <c r="O30" s="15">
        <f t="shared" si="2"/>
        <v>12035.052823962193</v>
      </c>
      <c r="P30" s="15">
        <f t="shared" si="0"/>
        <v>312911.373423017</v>
      </c>
      <c r="Q30" s="15">
        <f t="shared" si="1"/>
        <v>152365.53495495487</v>
      </c>
    </row>
    <row r="31" spans="10:17" ht="12.75">
      <c r="J31" s="38">
        <v>1698</v>
      </c>
      <c r="K31" s="39" t="s">
        <v>120</v>
      </c>
      <c r="L31" s="37">
        <v>10006.3875471698</v>
      </c>
      <c r="M31" s="38">
        <v>18</v>
      </c>
      <c r="N31" s="38">
        <v>2</v>
      </c>
      <c r="O31" s="15">
        <f t="shared" si="2"/>
        <v>12035.052823962193</v>
      </c>
      <c r="P31" s="15">
        <f t="shared" si="0"/>
        <v>216630.95083131947</v>
      </c>
      <c r="Q31" s="15">
        <f t="shared" si="1"/>
        <v>180114.97584905638</v>
      </c>
    </row>
    <row r="32" spans="10:17" ht="12.75">
      <c r="J32" s="38">
        <v>1700</v>
      </c>
      <c r="K32" s="39" t="s">
        <v>120</v>
      </c>
      <c r="L32" s="37">
        <v>11624.45625</v>
      </c>
      <c r="M32" s="38">
        <v>10</v>
      </c>
      <c r="N32" s="38">
        <v>1</v>
      </c>
      <c r="O32" s="15">
        <f t="shared" si="2"/>
        <v>12035.052823962193</v>
      </c>
      <c r="P32" s="15">
        <f t="shared" si="0"/>
        <v>120350.52823962193</v>
      </c>
      <c r="Q32" s="15">
        <f t="shared" si="1"/>
        <v>116244.5625</v>
      </c>
    </row>
    <row r="33" spans="1:17" ht="12.75">
      <c r="A33" t="s">
        <v>12</v>
      </c>
      <c r="J33" s="38">
        <v>1701</v>
      </c>
      <c r="K33" s="39" t="s">
        <v>120</v>
      </c>
      <c r="L33" s="37">
        <v>7715.61641975309</v>
      </c>
      <c r="M33" s="38">
        <v>46</v>
      </c>
      <c r="N33" s="38">
        <v>6</v>
      </c>
      <c r="O33" s="15">
        <f t="shared" si="2"/>
        <v>12035.052823962193</v>
      </c>
      <c r="P33" s="15">
        <f t="shared" si="0"/>
        <v>553612.4299022609</v>
      </c>
      <c r="Q33" s="15">
        <f t="shared" si="1"/>
        <v>354918.35530864215</v>
      </c>
    </row>
    <row r="34" spans="1:17" ht="12.75">
      <c r="A34" t="s">
        <v>24</v>
      </c>
      <c r="C34">
        <f>23/H34</f>
        <v>0.1796875</v>
      </c>
      <c r="D34" s="15">
        <v>41163.357056373745</v>
      </c>
      <c r="E34" s="15">
        <f>C34*D34</f>
        <v>7396.540721067157</v>
      </c>
      <c r="G34">
        <v>0.25</v>
      </c>
      <c r="H34" s="5">
        <v>128</v>
      </c>
      <c r="J34" s="38">
        <v>1702</v>
      </c>
      <c r="K34" s="39" t="s">
        <v>120</v>
      </c>
      <c r="L34" s="37">
        <v>6514.95478873239</v>
      </c>
      <c r="M34" s="38">
        <v>24</v>
      </c>
      <c r="N34" s="38">
        <v>2</v>
      </c>
      <c r="O34" s="15">
        <f t="shared" si="2"/>
        <v>12035.052823962193</v>
      </c>
      <c r="P34" s="15">
        <f t="shared" si="0"/>
        <v>288841.2677750926</v>
      </c>
      <c r="Q34" s="15">
        <f t="shared" si="1"/>
        <v>156358.91492957735</v>
      </c>
    </row>
    <row r="35" spans="1:17" ht="12.75">
      <c r="A35" t="s">
        <v>25</v>
      </c>
      <c r="C35">
        <f>23/H35</f>
        <v>0.14375</v>
      </c>
      <c r="D35" s="15">
        <v>38216.04733492906</v>
      </c>
      <c r="E35" s="15">
        <f>C35*D35</f>
        <v>5493.556804396052</v>
      </c>
      <c r="G35">
        <v>0.2</v>
      </c>
      <c r="H35" s="5">
        <v>160</v>
      </c>
      <c r="J35" s="38">
        <v>1704</v>
      </c>
      <c r="K35" s="39" t="s">
        <v>120</v>
      </c>
      <c r="L35" s="37">
        <v>8875.18081896551</v>
      </c>
      <c r="M35" s="38">
        <v>30</v>
      </c>
      <c r="N35" s="38">
        <v>3</v>
      </c>
      <c r="O35" s="15">
        <f t="shared" si="2"/>
        <v>12035.052823962193</v>
      </c>
      <c r="P35" s="15">
        <f t="shared" si="0"/>
        <v>361051.5847188658</v>
      </c>
      <c r="Q35" s="15">
        <f t="shared" si="1"/>
        <v>266255.4245689653</v>
      </c>
    </row>
    <row r="36" spans="1:17" ht="12.75">
      <c r="A36" t="s">
        <v>26</v>
      </c>
      <c r="B36">
        <f>80*180</f>
        <v>14400</v>
      </c>
      <c r="C36">
        <f>(C13+C17)/10</f>
        <v>0.234375</v>
      </c>
      <c r="E36" s="15">
        <f>B36*C36</f>
        <v>3375</v>
      </c>
      <c r="G36" s="7">
        <v>3105</v>
      </c>
      <c r="H36" s="5" t="s">
        <v>10</v>
      </c>
      <c r="J36" s="38">
        <v>1705</v>
      </c>
      <c r="K36" s="39" t="s">
        <v>120</v>
      </c>
      <c r="L36" s="37">
        <v>7345.07494252873</v>
      </c>
      <c r="M36" s="38">
        <v>21</v>
      </c>
      <c r="N36" s="38">
        <v>5</v>
      </c>
      <c r="O36" s="15">
        <f t="shared" si="2"/>
        <v>12035.052823962193</v>
      </c>
      <c r="P36" s="15">
        <f t="shared" si="0"/>
        <v>252736.10930320603</v>
      </c>
      <c r="Q36" s="15">
        <f t="shared" si="1"/>
        <v>154246.57379310334</v>
      </c>
    </row>
    <row r="37" spans="8:17" ht="12.75">
      <c r="H37" s="5"/>
      <c r="J37" s="38">
        <v>1706</v>
      </c>
      <c r="K37" s="39" t="s">
        <v>120</v>
      </c>
      <c r="L37" s="37">
        <v>9114.64356435644</v>
      </c>
      <c r="M37" s="38">
        <v>13</v>
      </c>
      <c r="N37" s="38">
        <v>2</v>
      </c>
      <c r="O37" s="15">
        <f t="shared" si="2"/>
        <v>12035.052823962193</v>
      </c>
      <c r="P37" s="15">
        <f t="shared" si="0"/>
        <v>156455.6867115085</v>
      </c>
      <c r="Q37" s="15">
        <f t="shared" si="1"/>
        <v>118490.36633663371</v>
      </c>
    </row>
    <row r="38" spans="1:17" ht="12.75">
      <c r="A38" t="s">
        <v>27</v>
      </c>
      <c r="J38" s="38">
        <v>1707</v>
      </c>
      <c r="K38" s="39" t="s">
        <v>120</v>
      </c>
      <c r="L38" s="37">
        <v>26958.0724637681</v>
      </c>
      <c r="M38" s="38">
        <v>14</v>
      </c>
      <c r="N38" s="38">
        <v>2</v>
      </c>
      <c r="O38" s="15">
        <f t="shared" si="2"/>
        <v>12035.052823962193</v>
      </c>
      <c r="P38" s="15">
        <f t="shared" si="0"/>
        <v>168490.7395354707</v>
      </c>
      <c r="Q38" s="15">
        <f t="shared" si="1"/>
        <v>377413.0144927534</v>
      </c>
    </row>
    <row r="39" spans="1:17" ht="12.75">
      <c r="A39" t="s">
        <v>13</v>
      </c>
      <c r="C39">
        <f>23/H39</f>
        <v>0.1796875</v>
      </c>
      <c r="D39" s="15">
        <v>66157.3544068731</v>
      </c>
      <c r="E39" s="15">
        <f>C39*D39</f>
        <v>11887.64961998501</v>
      </c>
      <c r="G39">
        <v>0.25</v>
      </c>
      <c r="H39" s="5">
        <v>128</v>
      </c>
      <c r="J39" s="38">
        <v>1708</v>
      </c>
      <c r="K39" s="39" t="s">
        <v>120</v>
      </c>
      <c r="L39" s="37">
        <v>8119.86715555555</v>
      </c>
      <c r="M39" s="38">
        <v>38</v>
      </c>
      <c r="N39" s="38">
        <v>8</v>
      </c>
      <c r="O39" s="15">
        <f t="shared" si="2"/>
        <v>12035.052823962193</v>
      </c>
      <c r="P39" s="15">
        <f t="shared" si="0"/>
        <v>457332.00731056335</v>
      </c>
      <c r="Q39" s="15">
        <f t="shared" si="1"/>
        <v>308554.9519111109</v>
      </c>
    </row>
    <row r="40" spans="1:17" ht="12.75">
      <c r="A40" t="s">
        <v>14</v>
      </c>
      <c r="C40">
        <f>23/H40</f>
        <v>0.359375</v>
      </c>
      <c r="D40" s="15">
        <v>25044.977520676086</v>
      </c>
      <c r="E40" s="15">
        <f>C40*D40</f>
        <v>9000.538796492969</v>
      </c>
      <c r="G40">
        <v>0.5</v>
      </c>
      <c r="H40" s="5">
        <v>64</v>
      </c>
      <c r="J40" s="38">
        <v>1709</v>
      </c>
      <c r="K40" s="39" t="s">
        <v>120</v>
      </c>
      <c r="L40" s="37">
        <v>6779.76448529412</v>
      </c>
      <c r="M40" s="38">
        <v>35</v>
      </c>
      <c r="N40" s="38">
        <v>10</v>
      </c>
      <c r="O40" s="15">
        <f t="shared" si="2"/>
        <v>12035.052823962193</v>
      </c>
      <c r="P40" s="15">
        <f t="shared" si="0"/>
        <v>421226.84883867676</v>
      </c>
      <c r="Q40" s="15">
        <f t="shared" si="1"/>
        <v>237291.7569852942</v>
      </c>
    </row>
    <row r="41" spans="10:17" ht="12.75">
      <c r="J41" s="38">
        <v>1712</v>
      </c>
      <c r="K41" s="39" t="s">
        <v>120</v>
      </c>
      <c r="L41" s="37">
        <v>9779.46653061224</v>
      </c>
      <c r="M41" s="38">
        <v>20</v>
      </c>
      <c r="N41" s="38">
        <v>2</v>
      </c>
      <c r="O41" s="15">
        <f t="shared" si="2"/>
        <v>12035.052823962193</v>
      </c>
      <c r="P41" s="15">
        <f t="shared" si="0"/>
        <v>240701.05647924385</v>
      </c>
      <c r="Q41" s="15">
        <f t="shared" si="1"/>
        <v>195589.3306122448</v>
      </c>
    </row>
    <row r="42" spans="1:17" ht="12.75">
      <c r="A42" t="s">
        <v>28</v>
      </c>
      <c r="H42" t="s">
        <v>35</v>
      </c>
      <c r="J42" s="38">
        <v>1716</v>
      </c>
      <c r="K42" s="39" t="s">
        <v>120</v>
      </c>
      <c r="L42" s="37">
        <v>9442.7702919708</v>
      </c>
      <c r="M42" s="38">
        <v>21</v>
      </c>
      <c r="N42" s="38">
        <v>4</v>
      </c>
      <c r="O42" s="15">
        <f t="shared" si="2"/>
        <v>12035.052823962193</v>
      </c>
      <c r="P42" s="15">
        <f t="shared" si="0"/>
        <v>252736.10930320603</v>
      </c>
      <c r="Q42" s="15">
        <f t="shared" si="1"/>
        <v>198298.1761313868</v>
      </c>
    </row>
    <row r="43" spans="1:17" ht="12.75">
      <c r="A43" t="s">
        <v>29</v>
      </c>
      <c r="B43">
        <v>250</v>
      </c>
      <c r="E43" s="15">
        <v>250</v>
      </c>
      <c r="H43" s="5">
        <v>250</v>
      </c>
      <c r="J43" s="38">
        <v>1717</v>
      </c>
      <c r="K43" s="39" t="s">
        <v>120</v>
      </c>
      <c r="L43" s="37">
        <v>10332.8217142857</v>
      </c>
      <c r="M43" s="38">
        <v>28</v>
      </c>
      <c r="N43" s="38">
        <v>0</v>
      </c>
      <c r="O43" s="15">
        <f t="shared" si="2"/>
        <v>12035.052823962193</v>
      </c>
      <c r="P43" s="15">
        <f t="shared" si="0"/>
        <v>336981.4790709414</v>
      </c>
      <c r="Q43" s="15">
        <f t="shared" si="1"/>
        <v>289319.00799999957</v>
      </c>
    </row>
    <row r="44" spans="1:17" ht="12.75">
      <c r="A44" t="s">
        <v>30</v>
      </c>
      <c r="B44">
        <v>100</v>
      </c>
      <c r="E44" s="15">
        <v>100</v>
      </c>
      <c r="H44" s="5">
        <v>150</v>
      </c>
      <c r="J44" s="38">
        <v>1718</v>
      </c>
      <c r="K44" s="39" t="s">
        <v>120</v>
      </c>
      <c r="L44" s="37">
        <v>6944.04918918919</v>
      </c>
      <c r="M44" s="38">
        <v>13</v>
      </c>
      <c r="N44" s="38">
        <v>1</v>
      </c>
      <c r="O44" s="15">
        <f t="shared" si="2"/>
        <v>12035.052823962193</v>
      </c>
      <c r="P44" s="15">
        <f t="shared" si="0"/>
        <v>156455.6867115085</v>
      </c>
      <c r="Q44" s="15">
        <f t="shared" si="1"/>
        <v>90272.63945945946</v>
      </c>
    </row>
    <row r="45" spans="1:17" ht="12.75">
      <c r="A45" t="s">
        <v>31</v>
      </c>
      <c r="B45">
        <v>500</v>
      </c>
      <c r="E45" s="15">
        <v>500</v>
      </c>
      <c r="H45" s="5">
        <v>275</v>
      </c>
      <c r="J45" s="38">
        <v>1721</v>
      </c>
      <c r="K45" s="39" t="s">
        <v>120</v>
      </c>
      <c r="L45" s="37">
        <v>7433.45951327433</v>
      </c>
      <c r="M45" s="38">
        <v>31</v>
      </c>
      <c r="N45" s="38">
        <v>4</v>
      </c>
      <c r="O45" s="15">
        <f t="shared" si="2"/>
        <v>12035.052823962193</v>
      </c>
      <c r="P45" s="15">
        <f t="shared" si="0"/>
        <v>373086.637542828</v>
      </c>
      <c r="Q45" s="15">
        <f t="shared" si="1"/>
        <v>230437.2449115042</v>
      </c>
    </row>
    <row r="46" spans="1:17" ht="12.75">
      <c r="A46" t="s">
        <v>32</v>
      </c>
      <c r="B46">
        <v>50</v>
      </c>
      <c r="E46" s="15">
        <v>50</v>
      </c>
      <c r="H46">
        <v>20</v>
      </c>
      <c r="J46" s="38">
        <v>1722</v>
      </c>
      <c r="K46" s="39" t="s">
        <v>120</v>
      </c>
      <c r="L46" s="37">
        <v>5159.91506849315</v>
      </c>
      <c r="M46" s="38">
        <v>15</v>
      </c>
      <c r="N46" s="38">
        <v>2</v>
      </c>
      <c r="O46" s="15">
        <f t="shared" si="2"/>
        <v>12035.052823962193</v>
      </c>
      <c r="P46" s="15">
        <f t="shared" si="0"/>
        <v>180525.7923594329</v>
      </c>
      <c r="Q46" s="15">
        <f t="shared" si="1"/>
        <v>77398.72602739725</v>
      </c>
    </row>
    <row r="47" spans="1:17" ht="12.75">
      <c r="A47" t="s">
        <v>33</v>
      </c>
      <c r="B47">
        <v>75</v>
      </c>
      <c r="E47" s="15">
        <v>75</v>
      </c>
      <c r="H47">
        <v>250</v>
      </c>
      <c r="J47" s="38">
        <v>1723</v>
      </c>
      <c r="K47" s="39" t="s">
        <v>120</v>
      </c>
      <c r="L47" s="37">
        <v>7964.22873015873</v>
      </c>
      <c r="M47" s="38">
        <v>37</v>
      </c>
      <c r="N47" s="38">
        <v>9</v>
      </c>
      <c r="O47" s="15">
        <f t="shared" si="2"/>
        <v>12035.052823962193</v>
      </c>
      <c r="P47" s="15">
        <f t="shared" si="0"/>
        <v>445296.9544866011</v>
      </c>
      <c r="Q47" s="15">
        <f t="shared" si="1"/>
        <v>294676.46301587304</v>
      </c>
    </row>
    <row r="48" spans="1:17" ht="12.75">
      <c r="A48" t="s">
        <v>34</v>
      </c>
      <c r="B48">
        <v>25</v>
      </c>
      <c r="E48" s="15">
        <v>25</v>
      </c>
      <c r="J48" s="38">
        <v>1725</v>
      </c>
      <c r="K48" s="39" t="s">
        <v>120</v>
      </c>
      <c r="L48" s="37">
        <v>7682.556</v>
      </c>
      <c r="M48" s="38">
        <v>39</v>
      </c>
      <c r="N48" s="38">
        <v>4</v>
      </c>
      <c r="O48" s="15">
        <f t="shared" si="2"/>
        <v>12035.052823962193</v>
      </c>
      <c r="P48" s="15">
        <f t="shared" si="0"/>
        <v>469367.0601345255</v>
      </c>
      <c r="Q48" s="15">
        <f t="shared" si="1"/>
        <v>299619.684</v>
      </c>
    </row>
    <row r="49" spans="10:17" ht="12.75">
      <c r="J49" s="38">
        <v>1726</v>
      </c>
      <c r="K49" s="39" t="s">
        <v>120</v>
      </c>
      <c r="L49" s="37">
        <v>8769.58623931624</v>
      </c>
      <c r="M49" s="38">
        <v>42</v>
      </c>
      <c r="N49" s="38">
        <v>3</v>
      </c>
      <c r="O49" s="15">
        <f t="shared" si="2"/>
        <v>12035.052823962193</v>
      </c>
      <c r="P49" s="15">
        <f t="shared" si="0"/>
        <v>505472.21860641206</v>
      </c>
      <c r="Q49" s="15">
        <f t="shared" si="1"/>
        <v>368322.6220512821</v>
      </c>
    </row>
    <row r="50" spans="1:17" ht="12.75">
      <c r="A50" t="s">
        <v>134</v>
      </c>
      <c r="E50" s="15">
        <f>SUM(E11:E40)+SUM(E43:E48)*B5</f>
        <v>236953.43583684356</v>
      </c>
      <c r="J50" s="38">
        <v>1727</v>
      </c>
      <c r="K50" s="39" t="s">
        <v>120</v>
      </c>
      <c r="L50" s="37">
        <v>10179.2048333333</v>
      </c>
      <c r="M50" s="38">
        <v>22</v>
      </c>
      <c r="N50" s="38">
        <v>5</v>
      </c>
      <c r="O50" s="15">
        <f t="shared" si="2"/>
        <v>12035.052823962193</v>
      </c>
      <c r="P50" s="15">
        <f t="shared" si="0"/>
        <v>264771.16212716827</v>
      </c>
      <c r="Q50" s="15">
        <f t="shared" si="1"/>
        <v>223942.50633333263</v>
      </c>
    </row>
    <row r="51" spans="1:17" ht="12.75">
      <c r="A51" t="s">
        <v>137</v>
      </c>
      <c r="E51" s="15">
        <f>E50/23</f>
        <v>10302.323297254068</v>
      </c>
      <c r="J51" s="38">
        <v>1728</v>
      </c>
      <c r="K51" s="39" t="s">
        <v>120</v>
      </c>
      <c r="L51" s="37">
        <v>7848.82882681564</v>
      </c>
      <c r="M51" s="38">
        <v>43</v>
      </c>
      <c r="N51" s="38">
        <v>4</v>
      </c>
      <c r="O51" s="15">
        <f t="shared" si="2"/>
        <v>12035.052823962193</v>
      </c>
      <c r="P51" s="15">
        <f t="shared" si="0"/>
        <v>517507.2714303743</v>
      </c>
      <c r="Q51" s="15">
        <f t="shared" si="1"/>
        <v>337499.6395530725</v>
      </c>
    </row>
    <row r="52" spans="1:17" ht="12.75">
      <c r="A52" t="s">
        <v>138</v>
      </c>
      <c r="E52" s="15">
        <v>1732.7295267081247</v>
      </c>
      <c r="J52" s="38">
        <v>1729</v>
      </c>
      <c r="K52" s="39" t="s">
        <v>120</v>
      </c>
      <c r="L52" s="37">
        <v>6655.65009950249</v>
      </c>
      <c r="M52" s="38">
        <v>38</v>
      </c>
      <c r="N52" s="38">
        <v>7</v>
      </c>
      <c r="O52" s="15">
        <f t="shared" si="2"/>
        <v>12035.052823962193</v>
      </c>
      <c r="P52" s="15">
        <f t="shared" si="0"/>
        <v>457332.00731056335</v>
      </c>
      <c r="Q52" s="15">
        <f t="shared" si="1"/>
        <v>252914.7037810946</v>
      </c>
    </row>
    <row r="53" spans="1:17" ht="12.75">
      <c r="A53" t="s">
        <v>135</v>
      </c>
      <c r="E53" s="15">
        <f>SUM(E51:E52)</f>
        <v>12035.052823962193</v>
      </c>
      <c r="J53" s="38">
        <v>1730</v>
      </c>
      <c r="K53" s="39" t="s">
        <v>120</v>
      </c>
      <c r="L53" s="37">
        <v>8177.57166666667</v>
      </c>
      <c r="M53" s="38">
        <v>27</v>
      </c>
      <c r="N53" s="38">
        <v>4</v>
      </c>
      <c r="O53" s="15">
        <f t="shared" si="2"/>
        <v>12035.052823962193</v>
      </c>
      <c r="P53" s="15">
        <f t="shared" si="0"/>
        <v>324946.4262469792</v>
      </c>
      <c r="Q53" s="15">
        <f t="shared" si="1"/>
        <v>220794.4350000001</v>
      </c>
    </row>
    <row r="54" spans="1:17" ht="12.75">
      <c r="A54" t="s">
        <v>136</v>
      </c>
      <c r="E54" s="15">
        <f>+'Additional Costs'!B16</f>
        <v>1120.9674845874997</v>
      </c>
      <c r="J54" s="38">
        <v>1732</v>
      </c>
      <c r="K54" s="39" t="s">
        <v>120</v>
      </c>
      <c r="L54" s="37">
        <v>11044.0393142857</v>
      </c>
      <c r="M54" s="38">
        <v>31</v>
      </c>
      <c r="N54" s="38">
        <v>3</v>
      </c>
      <c r="O54" s="15">
        <f t="shared" si="2"/>
        <v>12035.052823962193</v>
      </c>
      <c r="P54" s="15">
        <f t="shared" si="0"/>
        <v>373086.637542828</v>
      </c>
      <c r="Q54" s="15">
        <f t="shared" si="1"/>
        <v>342365.2187428567</v>
      </c>
    </row>
    <row r="55" spans="1:17" ht="12.75">
      <c r="A55" t="s">
        <v>208</v>
      </c>
      <c r="E55" s="15">
        <f>+'Additional Costs'!B25</f>
        <v>10291.435523393748</v>
      </c>
      <c r="J55" s="38">
        <v>1733</v>
      </c>
      <c r="K55" s="39" t="s">
        <v>120</v>
      </c>
      <c r="L55" s="37">
        <v>5658.68439252336</v>
      </c>
      <c r="M55" s="38">
        <v>33</v>
      </c>
      <c r="N55" s="38">
        <v>9</v>
      </c>
      <c r="O55" s="15">
        <f t="shared" si="2"/>
        <v>12035.052823962193</v>
      </c>
      <c r="P55" s="15">
        <f t="shared" si="0"/>
        <v>397156.74319075234</v>
      </c>
      <c r="Q55" s="15">
        <f t="shared" si="1"/>
        <v>186736.58495327088</v>
      </c>
    </row>
    <row r="56" spans="1:17" ht="12.75">
      <c r="A56" t="s">
        <v>209</v>
      </c>
      <c r="E56" s="15">
        <f>+E55+E54</f>
        <v>11412.403007981247</v>
      </c>
      <c r="J56" s="38">
        <v>1735</v>
      </c>
      <c r="K56" s="39" t="s">
        <v>120</v>
      </c>
      <c r="L56" s="37">
        <v>8360.58027027027</v>
      </c>
      <c r="M56" s="38">
        <v>5</v>
      </c>
      <c r="N56" s="38">
        <v>2</v>
      </c>
      <c r="O56" s="15">
        <f t="shared" si="2"/>
        <v>12035.052823962193</v>
      </c>
      <c r="P56" s="15">
        <f t="shared" si="0"/>
        <v>60175.26411981096</v>
      </c>
      <c r="Q56" s="15">
        <f t="shared" si="1"/>
        <v>41802.90135135135</v>
      </c>
    </row>
    <row r="57" spans="10:17" ht="12.75">
      <c r="J57" s="38">
        <v>1736</v>
      </c>
      <c r="K57" s="39" t="s">
        <v>120</v>
      </c>
      <c r="L57" s="37">
        <v>8088.76666666667</v>
      </c>
      <c r="M57" s="38">
        <v>35</v>
      </c>
      <c r="N57" s="38">
        <v>6</v>
      </c>
      <c r="O57" s="15">
        <f t="shared" si="2"/>
        <v>12035.052823962193</v>
      </c>
      <c r="P57" s="15">
        <f t="shared" si="0"/>
        <v>421226.84883867676</v>
      </c>
      <c r="Q57" s="15">
        <f t="shared" si="1"/>
        <v>283106.83333333343</v>
      </c>
    </row>
    <row r="58" spans="10:17" ht="12.75">
      <c r="J58" s="38">
        <v>1738</v>
      </c>
      <c r="K58" s="39" t="s">
        <v>120</v>
      </c>
      <c r="L58" s="37">
        <v>7948.13548913044</v>
      </c>
      <c r="M58" s="38">
        <v>44</v>
      </c>
      <c r="N58" s="38">
        <v>13</v>
      </c>
      <c r="O58" s="15">
        <f t="shared" si="2"/>
        <v>12035.052823962193</v>
      </c>
      <c r="P58" s="15">
        <f t="shared" si="0"/>
        <v>529542.3242543365</v>
      </c>
      <c r="Q58" s="15">
        <f t="shared" si="1"/>
        <v>349717.9615217394</v>
      </c>
    </row>
    <row r="59" spans="10:17" ht="12.75">
      <c r="J59" s="38">
        <v>1739</v>
      </c>
      <c r="K59" s="39" t="s">
        <v>120</v>
      </c>
      <c r="L59" s="37">
        <v>9560.2076744186</v>
      </c>
      <c r="M59" s="38">
        <v>9</v>
      </c>
      <c r="N59" s="38">
        <v>3</v>
      </c>
      <c r="O59" s="15">
        <f t="shared" si="2"/>
        <v>12035.052823962193</v>
      </c>
      <c r="P59" s="15">
        <f t="shared" si="0"/>
        <v>108315.47541565973</v>
      </c>
      <c r="Q59" s="15">
        <f t="shared" si="1"/>
        <v>86041.8690697674</v>
      </c>
    </row>
    <row r="60" spans="10:17" ht="12.75">
      <c r="J60" s="38">
        <v>1740</v>
      </c>
      <c r="K60" s="39" t="s">
        <v>120</v>
      </c>
      <c r="L60" s="37">
        <v>7063.88405797102</v>
      </c>
      <c r="M60" s="38">
        <v>48</v>
      </c>
      <c r="N60" s="38">
        <v>10</v>
      </c>
      <c r="O60" s="15">
        <f t="shared" si="2"/>
        <v>12035.052823962193</v>
      </c>
      <c r="P60" s="15">
        <f t="shared" si="0"/>
        <v>577682.5355501852</v>
      </c>
      <c r="Q60" s="15">
        <f t="shared" si="1"/>
        <v>339066.434782609</v>
      </c>
    </row>
    <row r="61" spans="10:17" ht="12.75">
      <c r="J61" s="38">
        <v>1742</v>
      </c>
      <c r="K61" s="39" t="s">
        <v>120</v>
      </c>
      <c r="L61" s="37">
        <v>9841.75883720931</v>
      </c>
      <c r="M61" s="38">
        <v>12</v>
      </c>
      <c r="N61" s="38">
        <v>1</v>
      </c>
      <c r="O61" s="15">
        <f t="shared" si="2"/>
        <v>12035.052823962193</v>
      </c>
      <c r="P61" s="15">
        <f t="shared" si="0"/>
        <v>144420.6338875463</v>
      </c>
      <c r="Q61" s="15">
        <f t="shared" si="1"/>
        <v>118101.10604651173</v>
      </c>
    </row>
    <row r="62" spans="10:17" ht="12.75">
      <c r="J62" s="38">
        <v>1744</v>
      </c>
      <c r="K62" s="39" t="s">
        <v>120</v>
      </c>
      <c r="L62" s="37">
        <v>9555.56359223301</v>
      </c>
      <c r="M62" s="38">
        <v>14</v>
      </c>
      <c r="N62" s="38">
        <v>2</v>
      </c>
      <c r="O62" s="15">
        <f t="shared" si="2"/>
        <v>12035.052823962193</v>
      </c>
      <c r="P62" s="15">
        <f t="shared" si="0"/>
        <v>168490.7395354707</v>
      </c>
      <c r="Q62" s="15">
        <f t="shared" si="1"/>
        <v>133777.89029126213</v>
      </c>
    </row>
    <row r="63" spans="10:17" ht="12.75">
      <c r="J63" s="38">
        <v>1746</v>
      </c>
      <c r="K63" s="39" t="s">
        <v>120</v>
      </c>
      <c r="L63" s="37">
        <v>13986.8249056604</v>
      </c>
      <c r="M63" s="38">
        <v>13</v>
      </c>
      <c r="N63" s="38">
        <v>5</v>
      </c>
      <c r="O63" s="15">
        <f t="shared" si="2"/>
        <v>12035.052823962193</v>
      </c>
      <c r="P63" s="15">
        <f t="shared" si="0"/>
        <v>156455.6867115085</v>
      </c>
      <c r="Q63" s="15">
        <f t="shared" si="1"/>
        <v>181828.7237735852</v>
      </c>
    </row>
    <row r="64" spans="10:17" ht="12.75">
      <c r="J64" s="38">
        <v>1747</v>
      </c>
      <c r="K64" s="39" t="s">
        <v>120</v>
      </c>
      <c r="L64" s="37">
        <v>12546.0802469136</v>
      </c>
      <c r="M64" s="38">
        <v>11</v>
      </c>
      <c r="N64" s="38">
        <v>2</v>
      </c>
      <c r="O64" s="15">
        <f t="shared" si="2"/>
        <v>12035.052823962193</v>
      </c>
      <c r="P64" s="15">
        <f t="shared" si="0"/>
        <v>132385.58106358413</v>
      </c>
      <c r="Q64" s="15">
        <f t="shared" si="1"/>
        <v>138006.8827160496</v>
      </c>
    </row>
    <row r="65" spans="10:17" ht="12.75">
      <c r="J65" s="38">
        <v>1749</v>
      </c>
      <c r="K65" s="39" t="s">
        <v>120</v>
      </c>
      <c r="L65" s="37">
        <v>8256.52341269841</v>
      </c>
      <c r="M65" s="38">
        <v>34</v>
      </c>
      <c r="N65" s="38">
        <v>3</v>
      </c>
      <c r="O65" s="15">
        <f t="shared" si="2"/>
        <v>12035.052823962193</v>
      </c>
      <c r="P65" s="15">
        <f t="shared" si="0"/>
        <v>409191.7960147145</v>
      </c>
      <c r="Q65" s="15">
        <f t="shared" si="1"/>
        <v>280721.79603174597</v>
      </c>
    </row>
    <row r="66" spans="10:17" ht="12.75">
      <c r="J66" s="38">
        <v>1750</v>
      </c>
      <c r="K66" s="39" t="s">
        <v>120</v>
      </c>
      <c r="L66" s="37">
        <v>14807.0418032787</v>
      </c>
      <c r="M66" s="38">
        <v>4</v>
      </c>
      <c r="N66" s="38">
        <v>0</v>
      </c>
      <c r="O66" s="15">
        <f t="shared" si="2"/>
        <v>12035.052823962193</v>
      </c>
      <c r="P66" s="15">
        <f aca="true" t="shared" si="3" ref="P66:P108">M66*O66</f>
        <v>48140.21129584877</v>
      </c>
      <c r="Q66" s="15">
        <f aca="true" t="shared" si="4" ref="Q66:Q108">L66*M66</f>
        <v>59228.1672131148</v>
      </c>
    </row>
    <row r="67" spans="10:17" ht="12.75">
      <c r="J67" s="38">
        <v>1752</v>
      </c>
      <c r="K67" s="39" t="s">
        <v>120</v>
      </c>
      <c r="L67" s="37">
        <v>10172.6940804598</v>
      </c>
      <c r="M67" s="38">
        <v>16</v>
      </c>
      <c r="N67" s="38">
        <v>1</v>
      </c>
      <c r="O67" s="15">
        <f aca="true" t="shared" si="5" ref="O67:O108">+$E$53</f>
        <v>12035.052823962193</v>
      </c>
      <c r="P67" s="15">
        <f t="shared" si="3"/>
        <v>192560.84518339508</v>
      </c>
      <c r="Q67" s="15">
        <f t="shared" si="4"/>
        <v>162763.1052873568</v>
      </c>
    </row>
    <row r="68" spans="10:17" ht="12.75">
      <c r="J68" s="38">
        <v>1754</v>
      </c>
      <c r="K68" s="39" t="s">
        <v>120</v>
      </c>
      <c r="L68" s="37">
        <v>7074.71670731707</v>
      </c>
      <c r="M68" s="38">
        <v>19</v>
      </c>
      <c r="N68" s="38">
        <v>0</v>
      </c>
      <c r="O68" s="15">
        <f t="shared" si="5"/>
        <v>12035.052823962193</v>
      </c>
      <c r="P68" s="15">
        <f t="shared" si="3"/>
        <v>228666.00365528167</v>
      </c>
      <c r="Q68" s="15">
        <f t="shared" si="4"/>
        <v>134419.61743902432</v>
      </c>
    </row>
    <row r="69" spans="10:17" ht="12.75">
      <c r="J69" s="38">
        <v>1755</v>
      </c>
      <c r="K69" s="39" t="s">
        <v>120</v>
      </c>
      <c r="L69" s="37">
        <v>7269.93587412588</v>
      </c>
      <c r="M69" s="38">
        <v>38</v>
      </c>
      <c r="N69" s="38">
        <v>11</v>
      </c>
      <c r="O69" s="15">
        <f t="shared" si="5"/>
        <v>12035.052823962193</v>
      </c>
      <c r="P69" s="15">
        <f t="shared" si="3"/>
        <v>457332.00731056335</v>
      </c>
      <c r="Q69" s="15">
        <f t="shared" si="4"/>
        <v>276257.56321678346</v>
      </c>
    </row>
    <row r="70" spans="10:17" ht="12.75">
      <c r="J70" s="38">
        <v>1756</v>
      </c>
      <c r="K70" s="39" t="s">
        <v>120</v>
      </c>
      <c r="L70" s="37">
        <v>11739.8462962963</v>
      </c>
      <c r="M70" s="38">
        <v>13</v>
      </c>
      <c r="N70" s="38">
        <v>0</v>
      </c>
      <c r="O70" s="15">
        <f t="shared" si="5"/>
        <v>12035.052823962193</v>
      </c>
      <c r="P70" s="15">
        <f t="shared" si="3"/>
        <v>156455.6867115085</v>
      </c>
      <c r="Q70" s="15">
        <f t="shared" si="4"/>
        <v>152618.0018518519</v>
      </c>
    </row>
    <row r="71" spans="10:17" ht="12.75">
      <c r="J71" s="38">
        <v>1757</v>
      </c>
      <c r="K71" s="39" t="s">
        <v>120</v>
      </c>
      <c r="L71" s="37">
        <v>6759.71376623377</v>
      </c>
      <c r="M71" s="38">
        <v>34</v>
      </c>
      <c r="N71" s="38">
        <v>4</v>
      </c>
      <c r="O71" s="15">
        <f t="shared" si="5"/>
        <v>12035.052823962193</v>
      </c>
      <c r="P71" s="15">
        <f t="shared" si="3"/>
        <v>409191.7960147145</v>
      </c>
      <c r="Q71" s="15">
        <f t="shared" si="4"/>
        <v>229830.26805194817</v>
      </c>
    </row>
    <row r="72" spans="10:17" ht="12.75">
      <c r="J72" s="38">
        <v>1758</v>
      </c>
      <c r="K72" s="39" t="s">
        <v>120</v>
      </c>
      <c r="L72" s="37">
        <v>8202.34603550296</v>
      </c>
      <c r="M72" s="38">
        <v>49</v>
      </c>
      <c r="N72" s="38">
        <v>4</v>
      </c>
      <c r="O72" s="15">
        <f t="shared" si="5"/>
        <v>12035.052823962193</v>
      </c>
      <c r="P72" s="15">
        <f t="shared" si="3"/>
        <v>589717.5883741474</v>
      </c>
      <c r="Q72" s="15">
        <f t="shared" si="4"/>
        <v>401914.95573964505</v>
      </c>
    </row>
    <row r="73" spans="10:17" ht="12.75">
      <c r="J73" s="38">
        <v>1760</v>
      </c>
      <c r="K73" s="39" t="s">
        <v>120</v>
      </c>
      <c r="L73" s="37">
        <v>18776.9591549296</v>
      </c>
      <c r="M73" s="38">
        <v>6</v>
      </c>
      <c r="N73" s="38">
        <v>0</v>
      </c>
      <c r="O73" s="15">
        <f t="shared" si="5"/>
        <v>12035.052823962193</v>
      </c>
      <c r="P73" s="15">
        <f t="shared" si="3"/>
        <v>72210.31694377316</v>
      </c>
      <c r="Q73" s="15">
        <f t="shared" si="4"/>
        <v>112661.75492957758</v>
      </c>
    </row>
    <row r="74" spans="10:17" ht="12.75">
      <c r="J74" s="38">
        <v>1761</v>
      </c>
      <c r="K74" s="39" t="s">
        <v>120</v>
      </c>
      <c r="L74" s="37">
        <v>9867.09745098039</v>
      </c>
      <c r="M74" s="38">
        <v>11</v>
      </c>
      <c r="N74" s="38">
        <v>0</v>
      </c>
      <c r="O74" s="15">
        <f t="shared" si="5"/>
        <v>12035.052823962193</v>
      </c>
      <c r="P74" s="15">
        <f t="shared" si="3"/>
        <v>132385.58106358413</v>
      </c>
      <c r="Q74" s="15">
        <f t="shared" si="4"/>
        <v>108538.07196078428</v>
      </c>
    </row>
    <row r="75" spans="10:17" ht="12.75">
      <c r="J75" s="38">
        <v>1762</v>
      </c>
      <c r="K75" s="39" t="s">
        <v>120</v>
      </c>
      <c r="L75" s="37">
        <v>7203.83796875</v>
      </c>
      <c r="M75" s="38">
        <v>12</v>
      </c>
      <c r="N75" s="38">
        <v>1</v>
      </c>
      <c r="O75" s="15">
        <f t="shared" si="5"/>
        <v>12035.052823962193</v>
      </c>
      <c r="P75" s="15">
        <f t="shared" si="3"/>
        <v>144420.6338875463</v>
      </c>
      <c r="Q75" s="15">
        <f t="shared" si="4"/>
        <v>86446.05562500001</v>
      </c>
    </row>
    <row r="76" spans="10:17" ht="12.75">
      <c r="J76" s="38">
        <v>1765</v>
      </c>
      <c r="K76" s="39" t="s">
        <v>120</v>
      </c>
      <c r="L76" s="37">
        <v>8411.06838983051</v>
      </c>
      <c r="M76" s="38">
        <v>32</v>
      </c>
      <c r="N76" s="38">
        <v>2</v>
      </c>
      <c r="O76" s="15">
        <f t="shared" si="5"/>
        <v>12035.052823962193</v>
      </c>
      <c r="P76" s="15">
        <f t="shared" si="3"/>
        <v>385121.69036679016</v>
      </c>
      <c r="Q76" s="15">
        <f t="shared" si="4"/>
        <v>269154.18847457634</v>
      </c>
    </row>
    <row r="77" spans="10:17" ht="12.75">
      <c r="J77" s="38">
        <v>1766</v>
      </c>
      <c r="K77" s="39" t="s">
        <v>120</v>
      </c>
      <c r="L77" s="37">
        <v>6163.68714285714</v>
      </c>
      <c r="M77" s="38">
        <v>49</v>
      </c>
      <c r="N77" s="38">
        <v>2</v>
      </c>
      <c r="O77" s="15">
        <f t="shared" si="5"/>
        <v>12035.052823962193</v>
      </c>
      <c r="P77" s="15">
        <f t="shared" si="3"/>
        <v>589717.5883741474</v>
      </c>
      <c r="Q77" s="15">
        <f t="shared" si="4"/>
        <v>302020.66999999987</v>
      </c>
    </row>
    <row r="78" spans="10:17" ht="12.75">
      <c r="J78" s="38">
        <v>1767</v>
      </c>
      <c r="K78" s="39" t="s">
        <v>120</v>
      </c>
      <c r="L78" s="37">
        <v>23473.3228888889</v>
      </c>
      <c r="M78" s="38">
        <v>11</v>
      </c>
      <c r="N78" s="38">
        <v>0</v>
      </c>
      <c r="O78" s="15">
        <f t="shared" si="5"/>
        <v>12035.052823962193</v>
      </c>
      <c r="P78" s="15">
        <f t="shared" si="3"/>
        <v>132385.58106358413</v>
      </c>
      <c r="Q78" s="15">
        <f t="shared" si="4"/>
        <v>258206.5517777779</v>
      </c>
    </row>
    <row r="79" spans="10:17" ht="12.75">
      <c r="J79" s="38">
        <v>1769</v>
      </c>
      <c r="K79" s="39" t="s">
        <v>120</v>
      </c>
      <c r="L79" s="37">
        <v>27523.4180952381</v>
      </c>
      <c r="M79" s="38">
        <v>2</v>
      </c>
      <c r="N79" s="38">
        <v>0</v>
      </c>
      <c r="O79" s="15">
        <f t="shared" si="5"/>
        <v>12035.052823962193</v>
      </c>
      <c r="P79" s="15">
        <f t="shared" si="3"/>
        <v>24070.105647924385</v>
      </c>
      <c r="Q79" s="15">
        <f t="shared" si="4"/>
        <v>55046.8361904762</v>
      </c>
    </row>
    <row r="80" spans="10:17" ht="12.75">
      <c r="J80" s="38">
        <v>1770</v>
      </c>
      <c r="K80" s="39" t="s">
        <v>120</v>
      </c>
      <c r="L80" s="37">
        <v>6769.636484375</v>
      </c>
      <c r="M80" s="38">
        <v>27</v>
      </c>
      <c r="N80" s="38">
        <v>4</v>
      </c>
      <c r="O80" s="15">
        <f t="shared" si="5"/>
        <v>12035.052823962193</v>
      </c>
      <c r="P80" s="15">
        <f t="shared" si="3"/>
        <v>324946.4262469792</v>
      </c>
      <c r="Q80" s="15">
        <f t="shared" si="4"/>
        <v>182780.18507812498</v>
      </c>
    </row>
    <row r="81" spans="10:17" ht="12.75">
      <c r="J81" s="38">
        <v>1773</v>
      </c>
      <c r="K81" s="39" t="s">
        <v>120</v>
      </c>
      <c r="L81" s="37">
        <v>7607.07703125</v>
      </c>
      <c r="M81" s="38">
        <v>10</v>
      </c>
      <c r="N81" s="38">
        <v>1</v>
      </c>
      <c r="O81" s="15">
        <f t="shared" si="5"/>
        <v>12035.052823962193</v>
      </c>
      <c r="P81" s="15">
        <f t="shared" si="3"/>
        <v>120350.52823962193</v>
      </c>
      <c r="Q81" s="15">
        <f t="shared" si="4"/>
        <v>76070.7703125</v>
      </c>
    </row>
    <row r="82" spans="10:17" ht="12.75">
      <c r="J82" s="38">
        <v>1774</v>
      </c>
      <c r="K82" s="39" t="s">
        <v>120</v>
      </c>
      <c r="L82" s="37">
        <v>7723.83591836735</v>
      </c>
      <c r="M82" s="38">
        <v>11</v>
      </c>
      <c r="N82" s="38">
        <v>1</v>
      </c>
      <c r="O82" s="15">
        <f t="shared" si="5"/>
        <v>12035.052823962193</v>
      </c>
      <c r="P82" s="15">
        <f t="shared" si="3"/>
        <v>132385.58106358413</v>
      </c>
      <c r="Q82" s="15">
        <f t="shared" si="4"/>
        <v>84962.19510204085</v>
      </c>
    </row>
    <row r="83" spans="10:17" ht="12.75">
      <c r="J83" s="38">
        <v>1778</v>
      </c>
      <c r="K83" s="39" t="s">
        <v>120</v>
      </c>
      <c r="L83" s="37">
        <v>7044.07933014354</v>
      </c>
      <c r="M83" s="38">
        <v>47</v>
      </c>
      <c r="N83" s="38">
        <v>4</v>
      </c>
      <c r="O83" s="15">
        <f t="shared" si="5"/>
        <v>12035.052823962193</v>
      </c>
      <c r="P83" s="15">
        <f t="shared" si="3"/>
        <v>565647.4827262231</v>
      </c>
      <c r="Q83" s="15">
        <f t="shared" si="4"/>
        <v>331071.72851674637</v>
      </c>
    </row>
    <row r="84" spans="10:17" ht="12.75">
      <c r="J84" s="38">
        <v>1779</v>
      </c>
      <c r="K84" s="39" t="s">
        <v>120</v>
      </c>
      <c r="L84" s="37">
        <v>10187.5243333333</v>
      </c>
      <c r="M84" s="38">
        <v>17</v>
      </c>
      <c r="N84" s="38">
        <v>3</v>
      </c>
      <c r="O84" s="15">
        <f t="shared" si="5"/>
        <v>12035.052823962193</v>
      </c>
      <c r="P84" s="15">
        <f t="shared" si="3"/>
        <v>204595.89800735726</v>
      </c>
      <c r="Q84" s="15">
        <f t="shared" si="4"/>
        <v>173187.9136666661</v>
      </c>
    </row>
    <row r="85" spans="10:17" ht="12.75">
      <c r="J85" s="38">
        <v>1780</v>
      </c>
      <c r="K85" s="39" t="s">
        <v>120</v>
      </c>
      <c r="L85" s="37">
        <v>6378.7946875</v>
      </c>
      <c r="M85" s="38">
        <v>30</v>
      </c>
      <c r="N85" s="38">
        <v>1</v>
      </c>
      <c r="O85" s="15">
        <f t="shared" si="5"/>
        <v>12035.052823962193</v>
      </c>
      <c r="P85" s="15">
        <f t="shared" si="3"/>
        <v>361051.5847188658</v>
      </c>
      <c r="Q85" s="15">
        <f t="shared" si="4"/>
        <v>191363.84062499998</v>
      </c>
    </row>
    <row r="86" spans="10:17" ht="12.75">
      <c r="J86" s="38">
        <v>1781</v>
      </c>
      <c r="K86" s="39" t="s">
        <v>121</v>
      </c>
      <c r="L86" s="37">
        <v>7486.01176923077</v>
      </c>
      <c r="M86" s="38">
        <v>30</v>
      </c>
      <c r="N86" s="38">
        <v>0</v>
      </c>
      <c r="O86" s="15">
        <f t="shared" si="5"/>
        <v>12035.052823962193</v>
      </c>
      <c r="P86" s="15">
        <f t="shared" si="3"/>
        <v>361051.5847188658</v>
      </c>
      <c r="Q86" s="15">
        <f t="shared" si="4"/>
        <v>224580.35307692311</v>
      </c>
    </row>
    <row r="87" spans="10:17" ht="12.75">
      <c r="J87" s="38">
        <v>1782</v>
      </c>
      <c r="K87" s="39" t="s">
        <v>120</v>
      </c>
      <c r="L87" s="37">
        <v>9298.30546099291</v>
      </c>
      <c r="M87" s="38">
        <v>21</v>
      </c>
      <c r="N87" s="38">
        <v>2</v>
      </c>
      <c r="O87" s="15">
        <f t="shared" si="5"/>
        <v>12035.052823962193</v>
      </c>
      <c r="P87" s="15">
        <f t="shared" si="3"/>
        <v>252736.10930320603</v>
      </c>
      <c r="Q87" s="15">
        <f t="shared" si="4"/>
        <v>195264.4146808511</v>
      </c>
    </row>
    <row r="88" spans="10:17" ht="12.75">
      <c r="J88" s="38">
        <v>1784</v>
      </c>
      <c r="K88" s="39" t="s">
        <v>120</v>
      </c>
      <c r="L88" s="37">
        <v>7399.35</v>
      </c>
      <c r="M88" s="38">
        <v>15</v>
      </c>
      <c r="N88" s="38">
        <v>2</v>
      </c>
      <c r="O88" s="15">
        <f t="shared" si="5"/>
        <v>12035.052823962193</v>
      </c>
      <c r="P88" s="15">
        <f t="shared" si="3"/>
        <v>180525.7923594329</v>
      </c>
      <c r="Q88" s="15">
        <f t="shared" si="4"/>
        <v>110990.25</v>
      </c>
    </row>
    <row r="89" spans="10:17" ht="12.75">
      <c r="J89" s="38">
        <v>1785</v>
      </c>
      <c r="K89" s="39" t="s">
        <v>120</v>
      </c>
      <c r="L89" s="37">
        <v>15054.07578125</v>
      </c>
      <c r="M89" s="38">
        <v>12</v>
      </c>
      <c r="N89" s="38">
        <v>2</v>
      </c>
      <c r="O89" s="15">
        <f t="shared" si="5"/>
        <v>12035.052823962193</v>
      </c>
      <c r="P89" s="15">
        <f t="shared" si="3"/>
        <v>144420.6338875463</v>
      </c>
      <c r="Q89" s="15">
        <f t="shared" si="4"/>
        <v>180648.909375</v>
      </c>
    </row>
    <row r="90" spans="10:17" ht="12.75">
      <c r="J90" s="38">
        <v>1786</v>
      </c>
      <c r="K90" s="39" t="s">
        <v>120</v>
      </c>
      <c r="L90" s="37">
        <v>8665.92266666667</v>
      </c>
      <c r="M90" s="38">
        <v>26</v>
      </c>
      <c r="N90" s="38">
        <v>5</v>
      </c>
      <c r="O90" s="15">
        <f t="shared" si="5"/>
        <v>12035.052823962193</v>
      </c>
      <c r="P90" s="15">
        <f t="shared" si="3"/>
        <v>312911.373423017</v>
      </c>
      <c r="Q90" s="15">
        <f t="shared" si="4"/>
        <v>225313.9893333334</v>
      </c>
    </row>
    <row r="91" spans="10:17" ht="12.75">
      <c r="J91" s="38">
        <v>1787</v>
      </c>
      <c r="K91" s="39" t="s">
        <v>120</v>
      </c>
      <c r="L91" s="37">
        <v>5025.93959677419</v>
      </c>
      <c r="M91" s="38">
        <v>45</v>
      </c>
      <c r="N91" s="38">
        <v>4</v>
      </c>
      <c r="O91" s="15">
        <f t="shared" si="5"/>
        <v>12035.052823962193</v>
      </c>
      <c r="P91" s="15">
        <f t="shared" si="3"/>
        <v>541577.3770782987</v>
      </c>
      <c r="Q91" s="15">
        <f t="shared" si="4"/>
        <v>226167.28185483857</v>
      </c>
    </row>
    <row r="92" spans="10:17" ht="12.75">
      <c r="J92" s="38">
        <v>1788</v>
      </c>
      <c r="K92" s="39" t="s">
        <v>120</v>
      </c>
      <c r="L92" s="37">
        <v>11277.745</v>
      </c>
      <c r="M92" s="38">
        <v>8</v>
      </c>
      <c r="N92" s="38">
        <v>0</v>
      </c>
      <c r="O92" s="15">
        <f t="shared" si="5"/>
        <v>12035.052823962193</v>
      </c>
      <c r="P92" s="15">
        <f t="shared" si="3"/>
        <v>96280.42259169754</v>
      </c>
      <c r="Q92" s="15">
        <f t="shared" si="4"/>
        <v>90221.96</v>
      </c>
    </row>
    <row r="93" spans="10:17" ht="12.75">
      <c r="J93" s="38">
        <v>1789</v>
      </c>
      <c r="K93" s="39" t="s">
        <v>120</v>
      </c>
      <c r="L93" s="37">
        <v>10797.2339375</v>
      </c>
      <c r="M93" s="38">
        <v>28</v>
      </c>
      <c r="N93" s="38">
        <v>3</v>
      </c>
      <c r="O93" s="15">
        <f t="shared" si="5"/>
        <v>12035.052823962193</v>
      </c>
      <c r="P93" s="15">
        <f t="shared" si="3"/>
        <v>336981.4790709414</v>
      </c>
      <c r="Q93" s="15">
        <f t="shared" si="4"/>
        <v>302322.55025</v>
      </c>
    </row>
    <row r="94" spans="10:17" ht="12.75">
      <c r="J94" s="38">
        <v>1792</v>
      </c>
      <c r="K94" s="39" t="s">
        <v>120</v>
      </c>
      <c r="L94" s="37">
        <v>10924.1413953488</v>
      </c>
      <c r="M94" s="38">
        <v>14</v>
      </c>
      <c r="N94" s="38">
        <v>1</v>
      </c>
      <c r="O94" s="15">
        <f t="shared" si="5"/>
        <v>12035.052823962193</v>
      </c>
      <c r="P94" s="15">
        <f t="shared" si="3"/>
        <v>168490.7395354707</v>
      </c>
      <c r="Q94" s="15">
        <f t="shared" si="4"/>
        <v>152937.97953488323</v>
      </c>
    </row>
    <row r="95" spans="10:17" ht="12.75">
      <c r="J95" s="38">
        <v>1793</v>
      </c>
      <c r="K95" s="39" t="s">
        <v>120</v>
      </c>
      <c r="L95" s="37">
        <v>5196.40227272727</v>
      </c>
      <c r="M95" s="38">
        <v>28</v>
      </c>
      <c r="N95" s="38">
        <v>1</v>
      </c>
      <c r="O95" s="15">
        <f t="shared" si="5"/>
        <v>12035.052823962193</v>
      </c>
      <c r="P95" s="15">
        <f t="shared" si="3"/>
        <v>336981.4790709414</v>
      </c>
      <c r="Q95" s="15">
        <f t="shared" si="4"/>
        <v>145499.26363636358</v>
      </c>
    </row>
    <row r="96" spans="10:17" ht="12.75">
      <c r="J96" s="38">
        <v>1795</v>
      </c>
      <c r="K96" s="39" t="s">
        <v>120</v>
      </c>
      <c r="L96" s="37">
        <v>10285.2907142857</v>
      </c>
      <c r="M96" s="38">
        <v>9</v>
      </c>
      <c r="N96" s="38">
        <v>1</v>
      </c>
      <c r="O96" s="15">
        <f t="shared" si="5"/>
        <v>12035.052823962193</v>
      </c>
      <c r="P96" s="15">
        <f t="shared" si="3"/>
        <v>108315.47541565973</v>
      </c>
      <c r="Q96" s="15">
        <f t="shared" si="4"/>
        <v>92567.6164285713</v>
      </c>
    </row>
    <row r="97" spans="10:17" ht="12.75">
      <c r="J97" s="38">
        <v>1797</v>
      </c>
      <c r="K97" s="39" t="s">
        <v>120</v>
      </c>
      <c r="L97" s="37">
        <v>7760.74691860465</v>
      </c>
      <c r="M97" s="38">
        <v>46</v>
      </c>
      <c r="N97" s="38">
        <v>8</v>
      </c>
      <c r="O97" s="15">
        <f t="shared" si="5"/>
        <v>12035.052823962193</v>
      </c>
      <c r="P97" s="15">
        <f t="shared" si="3"/>
        <v>553612.4299022609</v>
      </c>
      <c r="Q97" s="15">
        <f t="shared" si="4"/>
        <v>356994.3582558139</v>
      </c>
    </row>
    <row r="98" spans="10:17" ht="12.75">
      <c r="J98" s="38">
        <v>1800</v>
      </c>
      <c r="K98" s="39" t="s">
        <v>120</v>
      </c>
      <c r="L98" s="37">
        <v>5828.61</v>
      </c>
      <c r="M98" s="38">
        <v>39</v>
      </c>
      <c r="N98" s="38">
        <v>4</v>
      </c>
      <c r="O98" s="15">
        <f t="shared" si="5"/>
        <v>12035.052823962193</v>
      </c>
      <c r="P98" s="15">
        <f t="shared" si="3"/>
        <v>469367.0601345255</v>
      </c>
      <c r="Q98" s="15">
        <f t="shared" si="4"/>
        <v>227315.78999999998</v>
      </c>
    </row>
    <row r="99" spans="10:17" ht="12.75">
      <c r="J99" s="38">
        <v>1802</v>
      </c>
      <c r="K99" s="39" t="s">
        <v>120</v>
      </c>
      <c r="L99" s="37">
        <v>5779.48283870968</v>
      </c>
      <c r="M99" s="38">
        <v>25</v>
      </c>
      <c r="N99" s="38">
        <v>5</v>
      </c>
      <c r="O99" s="15">
        <f t="shared" si="5"/>
        <v>12035.052823962193</v>
      </c>
      <c r="P99" s="15">
        <f t="shared" si="3"/>
        <v>300876.3205990548</v>
      </c>
      <c r="Q99" s="15">
        <f t="shared" si="4"/>
        <v>144487.070967742</v>
      </c>
    </row>
    <row r="100" spans="10:17" ht="12.75">
      <c r="J100" s="38">
        <v>1814</v>
      </c>
      <c r="K100" s="39" t="s">
        <v>120</v>
      </c>
      <c r="L100" s="37">
        <v>5155.05285714286</v>
      </c>
      <c r="M100" s="38">
        <v>18</v>
      </c>
      <c r="N100" s="38">
        <v>2</v>
      </c>
      <c r="O100" s="15">
        <f t="shared" si="5"/>
        <v>12035.052823962193</v>
      </c>
      <c r="P100" s="15">
        <f t="shared" si="3"/>
        <v>216630.95083131947</v>
      </c>
      <c r="Q100" s="15">
        <f t="shared" si="4"/>
        <v>92790.95142857148</v>
      </c>
    </row>
    <row r="101" spans="10:17" ht="12.75">
      <c r="J101" s="38">
        <v>1817</v>
      </c>
      <c r="K101" s="39" t="s">
        <v>120</v>
      </c>
      <c r="L101" s="37">
        <v>10886.9678301887</v>
      </c>
      <c r="M101" s="38">
        <v>22</v>
      </c>
      <c r="N101" s="38">
        <v>1</v>
      </c>
      <c r="O101" s="15">
        <f t="shared" si="5"/>
        <v>12035.052823962193</v>
      </c>
      <c r="P101" s="15">
        <f t="shared" si="3"/>
        <v>264771.16212716827</v>
      </c>
      <c r="Q101" s="15">
        <f t="shared" si="4"/>
        <v>239513.2922641514</v>
      </c>
    </row>
    <row r="102" spans="10:17" ht="12.75">
      <c r="J102" s="38">
        <v>1818</v>
      </c>
      <c r="K102" s="39" t="s">
        <v>120</v>
      </c>
      <c r="L102" s="37">
        <v>7191.33888888889</v>
      </c>
      <c r="M102" s="38">
        <v>29</v>
      </c>
      <c r="N102" s="38">
        <v>1</v>
      </c>
      <c r="O102" s="15">
        <f t="shared" si="5"/>
        <v>12035.052823962193</v>
      </c>
      <c r="P102" s="15">
        <f t="shared" si="3"/>
        <v>349016.5318949036</v>
      </c>
      <c r="Q102" s="15">
        <f t="shared" si="4"/>
        <v>208548.82777777783</v>
      </c>
    </row>
    <row r="103" spans="10:17" ht="12.75">
      <c r="J103" s="38">
        <v>1820</v>
      </c>
      <c r="K103" s="39" t="s">
        <v>120</v>
      </c>
      <c r="L103" s="37">
        <v>7114.64025316456</v>
      </c>
      <c r="M103" s="38">
        <v>19</v>
      </c>
      <c r="N103" s="38">
        <v>2</v>
      </c>
      <c r="O103" s="15">
        <f t="shared" si="5"/>
        <v>12035.052823962193</v>
      </c>
      <c r="P103" s="15">
        <f t="shared" si="3"/>
        <v>228666.00365528167</v>
      </c>
      <c r="Q103" s="15">
        <f t="shared" si="4"/>
        <v>135178.16481012665</v>
      </c>
    </row>
    <row r="104" spans="10:17" ht="12.75">
      <c r="J104" s="38">
        <v>1821</v>
      </c>
      <c r="K104" s="39" t="s">
        <v>120</v>
      </c>
      <c r="L104" s="37">
        <v>7880.85955223881</v>
      </c>
      <c r="M104" s="38">
        <v>41</v>
      </c>
      <c r="N104" s="38">
        <v>1</v>
      </c>
      <c r="O104" s="15">
        <f t="shared" si="5"/>
        <v>12035.052823962193</v>
      </c>
      <c r="P104" s="15">
        <f t="shared" si="3"/>
        <v>493437.1657824499</v>
      </c>
      <c r="Q104" s="15">
        <f t="shared" si="4"/>
        <v>323115.2416417912</v>
      </c>
    </row>
    <row r="105" spans="10:17" ht="12.75">
      <c r="J105" s="38">
        <v>1823</v>
      </c>
      <c r="K105" s="39" t="s">
        <v>120</v>
      </c>
      <c r="L105" s="37">
        <v>7363.12821428571</v>
      </c>
      <c r="M105" s="38">
        <v>5</v>
      </c>
      <c r="N105" s="38">
        <v>0</v>
      </c>
      <c r="O105" s="15">
        <f t="shared" si="5"/>
        <v>12035.052823962193</v>
      </c>
      <c r="P105" s="15">
        <f t="shared" si="3"/>
        <v>60175.26411981096</v>
      </c>
      <c r="Q105" s="15">
        <f t="shared" si="4"/>
        <v>36815.64107142855</v>
      </c>
    </row>
    <row r="106" spans="10:17" ht="12.75">
      <c r="J106" s="38">
        <v>1824</v>
      </c>
      <c r="K106" s="39" t="s">
        <v>120</v>
      </c>
      <c r="L106" s="37">
        <v>13000.2740277778</v>
      </c>
      <c r="M106" s="38">
        <v>15</v>
      </c>
      <c r="N106" s="38">
        <v>3</v>
      </c>
      <c r="O106" s="15">
        <f t="shared" si="5"/>
        <v>12035.052823962193</v>
      </c>
      <c r="P106" s="15">
        <f t="shared" si="3"/>
        <v>180525.7923594329</v>
      </c>
      <c r="Q106" s="15">
        <f t="shared" si="4"/>
        <v>195004.11041666698</v>
      </c>
    </row>
    <row r="107" spans="10:17" ht="12.75">
      <c r="J107" s="38">
        <v>1825</v>
      </c>
      <c r="K107" s="39" t="s">
        <v>120</v>
      </c>
      <c r="L107" s="37">
        <v>6102.38305084746</v>
      </c>
      <c r="M107" s="38">
        <v>12</v>
      </c>
      <c r="N107" s="38">
        <v>1</v>
      </c>
      <c r="O107" s="15">
        <f t="shared" si="5"/>
        <v>12035.052823962193</v>
      </c>
      <c r="P107" s="15">
        <f t="shared" si="3"/>
        <v>144420.6338875463</v>
      </c>
      <c r="Q107" s="15">
        <f t="shared" si="4"/>
        <v>73228.59661016952</v>
      </c>
    </row>
    <row r="108" spans="10:17" ht="12.75">
      <c r="J108" s="38">
        <v>1831</v>
      </c>
      <c r="K108" s="39" t="s">
        <v>120</v>
      </c>
      <c r="L108" s="37">
        <v>5808.09461538461</v>
      </c>
      <c r="M108" s="38">
        <v>26</v>
      </c>
      <c r="N108" s="38">
        <v>3</v>
      </c>
      <c r="O108" s="15">
        <f t="shared" si="5"/>
        <v>12035.052823962193</v>
      </c>
      <c r="P108" s="15">
        <f t="shared" si="3"/>
        <v>312911.373423017</v>
      </c>
      <c r="Q108" s="15">
        <f t="shared" si="4"/>
        <v>151010.45999999985</v>
      </c>
    </row>
    <row r="109" spans="13:16" ht="12.75">
      <c r="M109" s="15">
        <f>SUM(M2:M108)</f>
        <v>2536</v>
      </c>
      <c r="N109" s="15">
        <f>SUM(N2:N108)</f>
        <v>307</v>
      </c>
      <c r="P109" s="15">
        <f>SUM(P2:P108)</f>
        <v>30520893.961568132</v>
      </c>
    </row>
    <row r="110" spans="11:16" ht="12.75">
      <c r="K110" s="105" t="s">
        <v>140</v>
      </c>
      <c r="L110" s="106"/>
      <c r="M110" s="107"/>
      <c r="N110" s="37">
        <v>1120.9674845874997</v>
      </c>
      <c r="O110" s="37"/>
      <c r="P110" s="15">
        <f>P109+N113</f>
        <v>34024501.685018376</v>
      </c>
    </row>
    <row r="111" spans="11:14" ht="12.75">
      <c r="K111" s="105" t="s">
        <v>141</v>
      </c>
      <c r="L111" s="106"/>
      <c r="M111" s="107"/>
      <c r="N111" s="37">
        <v>10291.435523393748</v>
      </c>
    </row>
    <row r="112" spans="11:14" ht="12.75">
      <c r="K112" s="105" t="s">
        <v>142</v>
      </c>
      <c r="L112" s="106"/>
      <c r="M112" s="107"/>
      <c r="N112" s="37">
        <f>SUM(N110:N111)</f>
        <v>11412.403007981247</v>
      </c>
    </row>
    <row r="113" spans="11:14" ht="12.75">
      <c r="K113" s="105" t="s">
        <v>143</v>
      </c>
      <c r="L113" s="106"/>
      <c r="M113" s="107"/>
      <c r="N113" s="37">
        <f>N109*N112</f>
        <v>3503607.723450243</v>
      </c>
    </row>
    <row r="114" spans="13:14" ht="12.75">
      <c r="M114" s="15"/>
      <c r="N114" s="15"/>
    </row>
    <row r="115" spans="13:14" ht="12.75">
      <c r="M115" s="15"/>
      <c r="N115" s="15"/>
    </row>
  </sheetData>
  <mergeCells count="4">
    <mergeCell ref="K110:M110"/>
    <mergeCell ref="K111:M111"/>
    <mergeCell ref="K112:M112"/>
    <mergeCell ref="K113:M113"/>
  </mergeCells>
  <printOptions gridLines="1"/>
  <pageMargins left="0.75" right="0.75" top="1" bottom="1" header="0.5" footer="0.5"/>
  <pageSetup fitToHeight="1" fitToWidth="1" horizontalDpi="300" verticalDpi="3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selection activeCell="I42" sqref="I42"/>
    </sheetView>
  </sheetViews>
  <sheetFormatPr defaultColWidth="9.140625" defaultRowHeight="12.75"/>
  <cols>
    <col min="1" max="1" width="20.28125" style="0" customWidth="1"/>
    <col min="3" max="3" width="10.28125" style="15" bestFit="1" customWidth="1"/>
    <col min="4" max="4" width="11.28125" style="15" bestFit="1" customWidth="1"/>
    <col min="9" max="9" width="10.7109375" style="0" customWidth="1"/>
    <col min="12" max="12" width="10.28125" style="15" bestFit="1" customWidth="1"/>
    <col min="13" max="13" width="11.00390625" style="0" customWidth="1"/>
    <col min="14" max="14" width="12.8515625" style="15" bestFit="1" customWidth="1"/>
    <col min="15" max="15" width="10.28125" style="15" bestFit="1" customWidth="1"/>
    <col min="16" max="16" width="14.00390625" style="15" bestFit="1" customWidth="1"/>
    <col min="17" max="17" width="12.8515625" style="15" bestFit="1" customWidth="1"/>
  </cols>
  <sheetData>
    <row r="1" spans="1:18" ht="43.5" customHeight="1">
      <c r="A1" s="1" t="s">
        <v>114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37</v>
      </c>
      <c r="J2" s="44">
        <v>10</v>
      </c>
      <c r="K2" s="45" t="s">
        <v>125</v>
      </c>
      <c r="L2" s="37">
        <v>10432.1967647059</v>
      </c>
      <c r="M2" s="44">
        <v>41</v>
      </c>
      <c r="N2" s="37">
        <v>3</v>
      </c>
      <c r="O2" s="15">
        <f>+$D$53</f>
        <v>14667.760520782418</v>
      </c>
      <c r="P2" s="15">
        <f aca="true" t="shared" si="0" ref="P2:P43">M2*O2</f>
        <v>601378.1813520791</v>
      </c>
      <c r="Q2" s="15">
        <f aca="true" t="shared" si="1" ref="Q2:Q43">L2*M2</f>
        <v>427720.06735294184</v>
      </c>
    </row>
    <row r="3" spans="1:17" ht="12.75">
      <c r="A3" t="s">
        <v>41</v>
      </c>
      <c r="B3">
        <f>COUNT(M2:M43)</f>
        <v>42</v>
      </c>
      <c r="G3" t="s">
        <v>9</v>
      </c>
      <c r="J3" s="44">
        <v>70</v>
      </c>
      <c r="K3" s="45" t="s">
        <v>125</v>
      </c>
      <c r="L3" s="37">
        <v>15256.3440625</v>
      </c>
      <c r="M3" s="44">
        <v>32</v>
      </c>
      <c r="N3" s="37">
        <v>0</v>
      </c>
      <c r="O3" s="15">
        <f aca="true" t="shared" si="2" ref="O3:O43">+$D$53</f>
        <v>14667.760520782418</v>
      </c>
      <c r="P3" s="15">
        <f t="shared" si="0"/>
        <v>469368.3366650374</v>
      </c>
      <c r="Q3" s="15">
        <f t="shared" si="1"/>
        <v>488203.01</v>
      </c>
    </row>
    <row r="4" spans="10:17" ht="12.75">
      <c r="J4" s="44">
        <v>103</v>
      </c>
      <c r="K4" s="45" t="s">
        <v>125</v>
      </c>
      <c r="L4" s="37">
        <v>12121.6871559633</v>
      </c>
      <c r="M4" s="44">
        <v>38</v>
      </c>
      <c r="N4" s="37">
        <v>4</v>
      </c>
      <c r="O4" s="15">
        <f t="shared" si="2"/>
        <v>14667.760520782418</v>
      </c>
      <c r="P4" s="15">
        <f t="shared" si="0"/>
        <v>557374.8997897318</v>
      </c>
      <c r="Q4" s="15">
        <f t="shared" si="1"/>
        <v>460624.1119266054</v>
      </c>
    </row>
    <row r="5" spans="1:17" ht="12.75">
      <c r="A5" t="s">
        <v>5</v>
      </c>
      <c r="B5">
        <v>34</v>
      </c>
      <c r="G5">
        <v>64</v>
      </c>
      <c r="J5" s="44">
        <v>205</v>
      </c>
      <c r="K5" s="45" t="s">
        <v>125</v>
      </c>
      <c r="L5" s="37">
        <v>15416.52625</v>
      </c>
      <c r="M5" s="44">
        <v>43</v>
      </c>
      <c r="N5" s="37">
        <v>5</v>
      </c>
      <c r="O5" s="15">
        <f t="shared" si="2"/>
        <v>14667.760520782418</v>
      </c>
      <c r="P5" s="15">
        <f t="shared" si="0"/>
        <v>630713.702393644</v>
      </c>
      <c r="Q5" s="15">
        <f t="shared" si="1"/>
        <v>662910.62875</v>
      </c>
    </row>
    <row r="6" spans="1:17" ht="12.75">
      <c r="A6" t="s">
        <v>6</v>
      </c>
      <c r="B6" s="3">
        <f>B5*E6</f>
        <v>14.177999999999999</v>
      </c>
      <c r="E6" s="4">
        <v>0.417</v>
      </c>
      <c r="G6">
        <v>24</v>
      </c>
      <c r="H6" s="4">
        <v>0.375</v>
      </c>
      <c r="J6" s="44">
        <v>214</v>
      </c>
      <c r="K6" s="45" t="s">
        <v>125</v>
      </c>
      <c r="L6" s="37">
        <v>17047.0956410256</v>
      </c>
      <c r="M6" s="44">
        <v>37</v>
      </c>
      <c r="N6" s="37">
        <v>8</v>
      </c>
      <c r="O6" s="15">
        <f t="shared" si="2"/>
        <v>14667.760520782418</v>
      </c>
      <c r="P6" s="15">
        <f t="shared" si="0"/>
        <v>542707.1392689495</v>
      </c>
      <c r="Q6" s="15">
        <f t="shared" si="1"/>
        <v>630742.5387179472</v>
      </c>
    </row>
    <row r="7" spans="1:17" ht="12.75">
      <c r="A7" t="s">
        <v>7</v>
      </c>
      <c r="B7" s="3">
        <f>B5*E7</f>
        <v>2.652</v>
      </c>
      <c r="E7" s="4">
        <v>0.078</v>
      </c>
      <c r="G7">
        <v>7</v>
      </c>
      <c r="H7" s="4">
        <v>0.109375</v>
      </c>
      <c r="J7" s="44">
        <v>270</v>
      </c>
      <c r="K7" s="45" t="s">
        <v>125</v>
      </c>
      <c r="L7" s="37">
        <v>24544.9732</v>
      </c>
      <c r="M7" s="44">
        <v>7</v>
      </c>
      <c r="N7" s="37">
        <v>2</v>
      </c>
      <c r="O7" s="15">
        <f t="shared" si="2"/>
        <v>14667.760520782418</v>
      </c>
      <c r="P7" s="15">
        <f t="shared" si="0"/>
        <v>102674.32364547692</v>
      </c>
      <c r="Q7" s="15">
        <f t="shared" si="1"/>
        <v>171814.8124</v>
      </c>
    </row>
    <row r="8" spans="1:17" ht="12.75">
      <c r="A8" t="s">
        <v>8</v>
      </c>
      <c r="B8" s="3">
        <f>B5*E8</f>
        <v>4.25</v>
      </c>
      <c r="E8" s="4">
        <v>0.125</v>
      </c>
      <c r="G8">
        <v>8</v>
      </c>
      <c r="H8" s="4">
        <v>0.125</v>
      </c>
      <c r="J8" s="44">
        <v>274</v>
      </c>
      <c r="K8" s="45" t="s">
        <v>125</v>
      </c>
      <c r="L8" s="37">
        <v>23762.3133333333</v>
      </c>
      <c r="M8" s="44">
        <v>10</v>
      </c>
      <c r="N8" s="37">
        <v>2</v>
      </c>
      <c r="O8" s="15">
        <f t="shared" si="2"/>
        <v>14667.760520782418</v>
      </c>
      <c r="P8" s="15">
        <f t="shared" si="0"/>
        <v>146677.60520782418</v>
      </c>
      <c r="Q8" s="15">
        <f t="shared" si="1"/>
        <v>237623.13333333298</v>
      </c>
    </row>
    <row r="9" spans="5:17" ht="12.75">
      <c r="E9" s="4"/>
      <c r="J9" s="44">
        <v>311</v>
      </c>
      <c r="K9" s="45" t="s">
        <v>125</v>
      </c>
      <c r="L9" s="37">
        <v>18071.2043589744</v>
      </c>
      <c r="M9" s="44">
        <v>33</v>
      </c>
      <c r="N9" s="37">
        <v>0</v>
      </c>
      <c r="O9" s="15">
        <f t="shared" si="2"/>
        <v>14667.760520782418</v>
      </c>
      <c r="P9" s="15">
        <f t="shared" si="0"/>
        <v>484036.0971858198</v>
      </c>
      <c r="Q9" s="15">
        <f t="shared" si="1"/>
        <v>596349.7438461551</v>
      </c>
    </row>
    <row r="10" spans="1:17" ht="12.75">
      <c r="A10" t="s">
        <v>18</v>
      </c>
      <c r="B10">
        <v>6.5</v>
      </c>
      <c r="C10" s="15">
        <v>42914.98927153859</v>
      </c>
      <c r="D10" s="15">
        <f>B10*C10</f>
        <v>278947.4302650008</v>
      </c>
      <c r="E10">
        <f>B$5/B10</f>
        <v>5.230769230769231</v>
      </c>
      <c r="J10" s="44">
        <v>352</v>
      </c>
      <c r="K10" s="45" t="s">
        <v>125</v>
      </c>
      <c r="L10" s="37">
        <v>15218.9667032967</v>
      </c>
      <c r="M10" s="44">
        <v>37</v>
      </c>
      <c r="N10" s="37">
        <v>1</v>
      </c>
      <c r="O10" s="15">
        <f t="shared" si="2"/>
        <v>14667.760520782418</v>
      </c>
      <c r="P10" s="15">
        <f t="shared" si="0"/>
        <v>542707.1392689495</v>
      </c>
      <c r="Q10" s="15">
        <f t="shared" si="1"/>
        <v>563101.768021978</v>
      </c>
    </row>
    <row r="11" spans="1:17" ht="12.75">
      <c r="A11" t="s">
        <v>15</v>
      </c>
      <c r="G11">
        <v>5.57</v>
      </c>
      <c r="H11" s="5">
        <v>11.490125673249551</v>
      </c>
      <c r="J11" s="44">
        <v>368</v>
      </c>
      <c r="K11" s="45" t="s">
        <v>125</v>
      </c>
      <c r="L11" s="37">
        <v>11678.1272</v>
      </c>
      <c r="M11" s="44">
        <v>41</v>
      </c>
      <c r="N11" s="37">
        <v>1</v>
      </c>
      <c r="O11" s="15">
        <f t="shared" si="2"/>
        <v>14667.760520782418</v>
      </c>
      <c r="P11" s="15">
        <f t="shared" si="0"/>
        <v>601378.1813520791</v>
      </c>
      <c r="Q11" s="15">
        <f t="shared" si="1"/>
        <v>478803.21520000004</v>
      </c>
    </row>
    <row r="12" spans="1:17" ht="12.75">
      <c r="A12" t="s">
        <v>16</v>
      </c>
      <c r="G12">
        <v>1.44</v>
      </c>
      <c r="H12" s="5">
        <v>44.44444444444444</v>
      </c>
      <c r="J12" s="44">
        <v>373</v>
      </c>
      <c r="K12" s="45" t="s">
        <v>125</v>
      </c>
      <c r="L12" s="37">
        <v>20127.5314814815</v>
      </c>
      <c r="M12" s="44">
        <v>35</v>
      </c>
      <c r="N12" s="37">
        <v>7</v>
      </c>
      <c r="O12" s="15">
        <f t="shared" si="2"/>
        <v>14667.760520782418</v>
      </c>
      <c r="P12" s="15">
        <f t="shared" si="0"/>
        <v>513371.61822738464</v>
      </c>
      <c r="Q12" s="15">
        <f t="shared" si="1"/>
        <v>704463.6018518525</v>
      </c>
    </row>
    <row r="13" spans="7:17" ht="12.75">
      <c r="G13">
        <f>SUM(G11:G12)</f>
        <v>7.01</v>
      </c>
      <c r="H13">
        <f>G5/G13</f>
        <v>9.12981455064194</v>
      </c>
      <c r="J13" s="44">
        <v>379</v>
      </c>
      <c r="K13" s="45" t="s">
        <v>125</v>
      </c>
      <c r="L13" s="37">
        <v>9342.63619047619</v>
      </c>
      <c r="M13" s="44">
        <v>24</v>
      </c>
      <c r="N13" s="37">
        <v>2</v>
      </c>
      <c r="O13" s="15">
        <f t="shared" si="2"/>
        <v>14667.760520782418</v>
      </c>
      <c r="P13" s="15">
        <f t="shared" si="0"/>
        <v>352026.25249877805</v>
      </c>
      <c r="Q13" s="15">
        <f t="shared" si="1"/>
        <v>224223.26857142858</v>
      </c>
    </row>
    <row r="14" spans="10:17" ht="12.75">
      <c r="J14" s="44">
        <v>477</v>
      </c>
      <c r="K14" s="45" t="s">
        <v>125</v>
      </c>
      <c r="L14" s="37">
        <v>22614.7255</v>
      </c>
      <c r="M14" s="44">
        <v>28</v>
      </c>
      <c r="N14" s="37">
        <v>3</v>
      </c>
      <c r="O14" s="15">
        <f t="shared" si="2"/>
        <v>14667.760520782418</v>
      </c>
      <c r="P14" s="15">
        <f t="shared" si="0"/>
        <v>410697.2945819077</v>
      </c>
      <c r="Q14" s="15">
        <f t="shared" si="1"/>
        <v>633212.314</v>
      </c>
    </row>
    <row r="15" spans="1:17" ht="12.75">
      <c r="A15" t="s">
        <v>17</v>
      </c>
      <c r="G15">
        <v>0.25</v>
      </c>
      <c r="H15">
        <v>256</v>
      </c>
      <c r="J15" s="44">
        <v>551</v>
      </c>
      <c r="K15" s="45" t="s">
        <v>125</v>
      </c>
      <c r="L15" s="37">
        <v>9114.64356435644</v>
      </c>
      <c r="M15" s="44">
        <v>26</v>
      </c>
      <c r="N15" s="37">
        <v>7</v>
      </c>
      <c r="O15" s="15">
        <f t="shared" si="2"/>
        <v>14667.760520782418</v>
      </c>
      <c r="P15" s="15">
        <f t="shared" si="0"/>
        <v>381361.77354034287</v>
      </c>
      <c r="Q15" s="15">
        <f t="shared" si="1"/>
        <v>236980.73267326743</v>
      </c>
    </row>
    <row r="16" spans="10:17" ht="12.75">
      <c r="J16" s="44">
        <v>556</v>
      </c>
      <c r="K16" s="45" t="s">
        <v>125</v>
      </c>
      <c r="L16" s="37">
        <v>26958.0724637681</v>
      </c>
      <c r="M16" s="44">
        <v>39</v>
      </c>
      <c r="N16" s="37">
        <v>9</v>
      </c>
      <c r="O16" s="15">
        <f t="shared" si="2"/>
        <v>14667.760520782418</v>
      </c>
      <c r="P16" s="15">
        <f t="shared" si="0"/>
        <v>572042.6603105143</v>
      </c>
      <c r="Q16" s="15">
        <f t="shared" si="1"/>
        <v>1051364.8260869558</v>
      </c>
    </row>
    <row r="17" spans="1:17" ht="12.75">
      <c r="A17" t="s">
        <v>19</v>
      </c>
      <c r="B17">
        <v>0.25</v>
      </c>
      <c r="C17" s="15">
        <v>42914.98927153859</v>
      </c>
      <c r="D17" s="15">
        <f>B17*C17</f>
        <v>10728.747317884647</v>
      </c>
      <c r="E17" s="3">
        <f>B$8/B17</f>
        <v>17</v>
      </c>
      <c r="G17">
        <v>0.5</v>
      </c>
      <c r="H17">
        <v>16</v>
      </c>
      <c r="J17" s="44">
        <v>623</v>
      </c>
      <c r="K17" s="45" t="s">
        <v>125</v>
      </c>
      <c r="L17" s="37">
        <v>10332.8217142857</v>
      </c>
      <c r="M17" s="44">
        <v>36</v>
      </c>
      <c r="N17" s="37">
        <v>0</v>
      </c>
      <c r="O17" s="15">
        <f t="shared" si="2"/>
        <v>14667.760520782418</v>
      </c>
      <c r="P17" s="15">
        <f t="shared" si="0"/>
        <v>528039.3787481671</v>
      </c>
      <c r="Q17" s="15">
        <f t="shared" si="1"/>
        <v>371981.5817142852</v>
      </c>
    </row>
    <row r="18" spans="1:17" ht="12.75">
      <c r="A18" t="s">
        <v>16</v>
      </c>
      <c r="G18">
        <v>0</v>
      </c>
      <c r="H18">
        <v>0</v>
      </c>
      <c r="J18" s="44">
        <v>627</v>
      </c>
      <c r="K18" s="45" t="s">
        <v>125</v>
      </c>
      <c r="L18" s="37">
        <v>14744.5458974359</v>
      </c>
      <c r="M18" s="44">
        <v>46</v>
      </c>
      <c r="N18" s="37">
        <v>4</v>
      </c>
      <c r="O18" s="15">
        <f t="shared" si="2"/>
        <v>14667.760520782418</v>
      </c>
      <c r="P18" s="15">
        <f t="shared" si="0"/>
        <v>674716.9839559912</v>
      </c>
      <c r="Q18" s="15">
        <f t="shared" si="1"/>
        <v>678249.1112820514</v>
      </c>
    </row>
    <row r="19" spans="1:17" ht="12.75">
      <c r="A19" t="s">
        <v>17</v>
      </c>
      <c r="G19">
        <v>1</v>
      </c>
      <c r="H19">
        <v>8</v>
      </c>
      <c r="J19" s="44">
        <v>677</v>
      </c>
      <c r="K19" s="45" t="s">
        <v>125</v>
      </c>
      <c r="L19" s="37">
        <v>16939.5539473684</v>
      </c>
      <c r="M19" s="44">
        <v>37</v>
      </c>
      <c r="N19" s="37">
        <v>7</v>
      </c>
      <c r="O19" s="15">
        <f t="shared" si="2"/>
        <v>14667.760520782418</v>
      </c>
      <c r="P19" s="15">
        <f t="shared" si="0"/>
        <v>542707.1392689495</v>
      </c>
      <c r="Q19" s="15">
        <f t="shared" si="1"/>
        <v>626763.4960526308</v>
      </c>
    </row>
    <row r="20" spans="10:17" ht="12.75">
      <c r="J20" s="44">
        <v>682</v>
      </c>
      <c r="K20" s="45" t="s">
        <v>125</v>
      </c>
      <c r="L20" s="37">
        <v>17088.18</v>
      </c>
      <c r="M20" s="44">
        <v>22</v>
      </c>
      <c r="N20" s="37">
        <v>0</v>
      </c>
      <c r="O20" s="15">
        <f t="shared" si="2"/>
        <v>14667.760520782418</v>
      </c>
      <c r="P20" s="15">
        <f t="shared" si="0"/>
        <v>322690.7314572132</v>
      </c>
      <c r="Q20" s="15">
        <f t="shared" si="1"/>
        <v>375939.96</v>
      </c>
    </row>
    <row r="21" spans="10:17" ht="12.75">
      <c r="J21" s="44">
        <v>727</v>
      </c>
      <c r="K21" s="45" t="s">
        <v>125</v>
      </c>
      <c r="L21" s="37">
        <v>10179.2048333333</v>
      </c>
      <c r="M21" s="44">
        <v>48</v>
      </c>
      <c r="N21" s="37">
        <v>4</v>
      </c>
      <c r="O21" s="15">
        <f t="shared" si="2"/>
        <v>14667.760520782418</v>
      </c>
      <c r="P21" s="15">
        <f t="shared" si="0"/>
        <v>704052.5049975561</v>
      </c>
      <c r="Q21" s="15">
        <f t="shared" si="1"/>
        <v>488601.8319999984</v>
      </c>
    </row>
    <row r="22" spans="1:17" ht="12.75">
      <c r="A22" t="s">
        <v>20</v>
      </c>
      <c r="J22" s="44">
        <v>813</v>
      </c>
      <c r="K22" s="45" t="s">
        <v>125</v>
      </c>
      <c r="L22" s="37">
        <v>22754.3290909091</v>
      </c>
      <c r="M22" s="44">
        <v>18</v>
      </c>
      <c r="N22" s="37">
        <v>2</v>
      </c>
      <c r="O22" s="15">
        <f t="shared" si="2"/>
        <v>14667.760520782418</v>
      </c>
      <c r="P22" s="15">
        <f t="shared" si="0"/>
        <v>264019.68937408354</v>
      </c>
      <c r="Q22" s="15">
        <f t="shared" si="1"/>
        <v>409577.9236363638</v>
      </c>
    </row>
    <row r="23" spans="1:17" ht="12.75">
      <c r="A23" t="s">
        <v>11</v>
      </c>
      <c r="B23">
        <v>0.25</v>
      </c>
      <c r="C23" s="15">
        <v>46319.211226175925</v>
      </c>
      <c r="D23" s="15">
        <f>B23*C23</f>
        <v>11579.802806543981</v>
      </c>
      <c r="E23">
        <f>B$5/B23</f>
        <v>136</v>
      </c>
      <c r="G23">
        <v>0.5</v>
      </c>
      <c r="H23">
        <v>128</v>
      </c>
      <c r="J23" s="44">
        <v>853</v>
      </c>
      <c r="K23" s="45" t="s">
        <v>125</v>
      </c>
      <c r="L23" s="37">
        <v>9555.56359223301</v>
      </c>
      <c r="M23" s="44">
        <v>30</v>
      </c>
      <c r="N23" s="37">
        <v>2</v>
      </c>
      <c r="O23" s="15">
        <f t="shared" si="2"/>
        <v>14667.760520782418</v>
      </c>
      <c r="P23" s="15">
        <f t="shared" si="0"/>
        <v>440032.81562347256</v>
      </c>
      <c r="Q23" s="15">
        <f t="shared" si="1"/>
        <v>286666.9077669903</v>
      </c>
    </row>
    <row r="24" spans="10:17" ht="12.75">
      <c r="J24" s="44">
        <v>873</v>
      </c>
      <c r="K24" s="45" t="s">
        <v>125</v>
      </c>
      <c r="L24" s="37">
        <v>22196.0483333333</v>
      </c>
      <c r="M24" s="44">
        <v>32</v>
      </c>
      <c r="N24" s="37">
        <v>8</v>
      </c>
      <c r="O24" s="15">
        <f t="shared" si="2"/>
        <v>14667.760520782418</v>
      </c>
      <c r="P24" s="15">
        <f t="shared" si="0"/>
        <v>469368.3366650374</v>
      </c>
      <c r="Q24" s="15">
        <f t="shared" si="1"/>
        <v>710273.5466666656</v>
      </c>
    </row>
    <row r="25" spans="10:17" ht="12.75">
      <c r="J25" s="44">
        <v>879</v>
      </c>
      <c r="K25" s="45" t="s">
        <v>125</v>
      </c>
      <c r="L25" s="37">
        <v>12546.0802469136</v>
      </c>
      <c r="M25" s="44">
        <v>39</v>
      </c>
      <c r="N25" s="37">
        <v>4</v>
      </c>
      <c r="O25" s="15">
        <f t="shared" si="2"/>
        <v>14667.760520782418</v>
      </c>
      <c r="P25" s="15">
        <f t="shared" si="0"/>
        <v>572042.6603105143</v>
      </c>
      <c r="Q25" s="15">
        <f t="shared" si="1"/>
        <v>489297.12962963036</v>
      </c>
    </row>
    <row r="26" spans="1:17" ht="12.75">
      <c r="A26" t="s">
        <v>19</v>
      </c>
      <c r="J26" s="44">
        <v>901</v>
      </c>
      <c r="K26" s="45" t="s">
        <v>125</v>
      </c>
      <c r="L26" s="37">
        <v>14807.0418032787</v>
      </c>
      <c r="M26" s="44">
        <v>19</v>
      </c>
      <c r="N26" s="37">
        <v>4</v>
      </c>
      <c r="O26" s="15">
        <f t="shared" si="2"/>
        <v>14667.760520782418</v>
      </c>
      <c r="P26" s="15">
        <f t="shared" si="0"/>
        <v>278687.4498948659</v>
      </c>
      <c r="Q26" s="15">
        <f t="shared" si="1"/>
        <v>281333.7942622953</v>
      </c>
    </row>
    <row r="27" spans="1:17" ht="12.75">
      <c r="A27" s="6" t="s">
        <v>22</v>
      </c>
      <c r="B27">
        <v>0.1</v>
      </c>
      <c r="C27" s="15">
        <v>46396.4268055664</v>
      </c>
      <c r="D27" s="15">
        <f>B27*C27</f>
        <v>4639.64268055664</v>
      </c>
      <c r="E27" s="3">
        <f>B$8/B27</f>
        <v>42.5</v>
      </c>
      <c r="G27">
        <v>0.2</v>
      </c>
      <c r="H27">
        <v>40</v>
      </c>
      <c r="J27" s="44">
        <v>1006</v>
      </c>
      <c r="K27" s="45" t="s">
        <v>125</v>
      </c>
      <c r="L27" s="37">
        <v>19738.4524242424</v>
      </c>
      <c r="M27" s="44">
        <v>36</v>
      </c>
      <c r="N27" s="37">
        <v>2</v>
      </c>
      <c r="O27" s="15">
        <f t="shared" si="2"/>
        <v>14667.760520782418</v>
      </c>
      <c r="P27" s="15">
        <f t="shared" si="0"/>
        <v>528039.3787481671</v>
      </c>
      <c r="Q27" s="15">
        <f t="shared" si="1"/>
        <v>710584.2872727264</v>
      </c>
    </row>
    <row r="28" spans="1:17" ht="12.75">
      <c r="A28" t="s">
        <v>23</v>
      </c>
      <c r="B28">
        <v>0.05</v>
      </c>
      <c r="C28" s="15">
        <v>48090.39947775422</v>
      </c>
      <c r="D28" s="15">
        <f>B28*C28</f>
        <v>2404.519973887711</v>
      </c>
      <c r="E28" s="3">
        <f>B$8/B28</f>
        <v>85</v>
      </c>
      <c r="G28">
        <v>0.1</v>
      </c>
      <c r="H28">
        <v>80</v>
      </c>
      <c r="J28" s="44">
        <v>1028</v>
      </c>
      <c r="K28" s="45" t="s">
        <v>125</v>
      </c>
      <c r="L28" s="37">
        <v>18776.9591549296</v>
      </c>
      <c r="M28" s="44">
        <v>29</v>
      </c>
      <c r="N28" s="37">
        <v>1</v>
      </c>
      <c r="O28" s="15">
        <f t="shared" si="2"/>
        <v>14667.760520782418</v>
      </c>
      <c r="P28" s="15">
        <f t="shared" si="0"/>
        <v>425365.0551026901</v>
      </c>
      <c r="Q28" s="15">
        <f t="shared" si="1"/>
        <v>544531.8154929583</v>
      </c>
    </row>
    <row r="29" spans="10:17" ht="12.75">
      <c r="J29" s="44">
        <v>1030</v>
      </c>
      <c r="K29" s="45" t="s">
        <v>125</v>
      </c>
      <c r="L29" s="37">
        <v>20114.9418518519</v>
      </c>
      <c r="M29" s="44">
        <v>19</v>
      </c>
      <c r="N29" s="37">
        <v>0</v>
      </c>
      <c r="O29" s="15">
        <f t="shared" si="2"/>
        <v>14667.760520782418</v>
      </c>
      <c r="P29" s="15">
        <f t="shared" si="0"/>
        <v>278687.4498948659</v>
      </c>
      <c r="Q29" s="15">
        <f t="shared" si="1"/>
        <v>382183.8951851861</v>
      </c>
    </row>
    <row r="30" spans="10:17" ht="12.75">
      <c r="J30" s="44">
        <v>1038</v>
      </c>
      <c r="K30" s="45" t="s">
        <v>125</v>
      </c>
      <c r="L30" s="37">
        <v>16285.2651428571</v>
      </c>
      <c r="M30" s="44">
        <v>30</v>
      </c>
      <c r="N30" s="37">
        <v>0</v>
      </c>
      <c r="O30" s="15">
        <f t="shared" si="2"/>
        <v>14667.760520782418</v>
      </c>
      <c r="P30" s="15">
        <f t="shared" si="0"/>
        <v>440032.81562347256</v>
      </c>
      <c r="Q30" s="15">
        <f t="shared" si="1"/>
        <v>488557.954285713</v>
      </c>
    </row>
    <row r="31" spans="10:17" ht="12.75">
      <c r="J31" s="44">
        <v>1062</v>
      </c>
      <c r="K31" s="45" t="s">
        <v>125</v>
      </c>
      <c r="L31" s="37">
        <v>23473.3228888889</v>
      </c>
      <c r="M31" s="44">
        <v>11</v>
      </c>
      <c r="N31" s="37">
        <v>1</v>
      </c>
      <c r="O31" s="15">
        <f t="shared" si="2"/>
        <v>14667.760520782418</v>
      </c>
      <c r="P31" s="15">
        <f t="shared" si="0"/>
        <v>161345.3657286066</v>
      </c>
      <c r="Q31" s="15">
        <f t="shared" si="1"/>
        <v>258206.5517777779</v>
      </c>
    </row>
    <row r="32" spans="10:17" ht="12.75">
      <c r="J32" s="44">
        <v>1065</v>
      </c>
      <c r="K32" s="45" t="s">
        <v>125</v>
      </c>
      <c r="L32" s="37">
        <v>13338.5325714286</v>
      </c>
      <c r="M32" s="44">
        <v>41</v>
      </c>
      <c r="N32" s="37">
        <v>4</v>
      </c>
      <c r="O32" s="15">
        <f t="shared" si="2"/>
        <v>14667.760520782418</v>
      </c>
      <c r="P32" s="15">
        <f t="shared" si="0"/>
        <v>601378.1813520791</v>
      </c>
      <c r="Q32" s="15">
        <f t="shared" si="1"/>
        <v>546879.8354285726</v>
      </c>
    </row>
    <row r="33" spans="1:17" ht="12.75">
      <c r="A33" t="s">
        <v>12</v>
      </c>
      <c r="J33" s="44">
        <v>1074</v>
      </c>
      <c r="K33" s="45" t="s">
        <v>125</v>
      </c>
      <c r="L33" s="37">
        <v>27523.4180952381</v>
      </c>
      <c r="M33" s="44">
        <v>3</v>
      </c>
      <c r="N33" s="37">
        <v>0</v>
      </c>
      <c r="O33" s="15">
        <f t="shared" si="2"/>
        <v>14667.760520782418</v>
      </c>
      <c r="P33" s="15">
        <f t="shared" si="0"/>
        <v>44003.281562347256</v>
      </c>
      <c r="Q33" s="15">
        <f t="shared" si="1"/>
        <v>82570.2542857143</v>
      </c>
    </row>
    <row r="34" spans="1:17" ht="12.75">
      <c r="A34" t="s">
        <v>24</v>
      </c>
      <c r="B34">
        <v>0.25</v>
      </c>
      <c r="C34" s="15">
        <v>41163.357056373745</v>
      </c>
      <c r="D34" s="15">
        <f>B34*C34</f>
        <v>10290.839264093436</v>
      </c>
      <c r="E34">
        <f>B$5/B34</f>
        <v>136</v>
      </c>
      <c r="G34">
        <v>0.75</v>
      </c>
      <c r="H34" s="5">
        <v>85.33333333333333</v>
      </c>
      <c r="J34" s="44">
        <v>1114</v>
      </c>
      <c r="K34" s="45" t="s">
        <v>125</v>
      </c>
      <c r="L34" s="37">
        <v>16477.0791666667</v>
      </c>
      <c r="M34" s="44">
        <v>25</v>
      </c>
      <c r="N34" s="37">
        <v>4</v>
      </c>
      <c r="O34" s="15">
        <f t="shared" si="2"/>
        <v>14667.760520782418</v>
      </c>
      <c r="P34" s="15">
        <f t="shared" si="0"/>
        <v>366694.0130195604</v>
      </c>
      <c r="Q34" s="15">
        <f t="shared" si="1"/>
        <v>411926.9791666675</v>
      </c>
    </row>
    <row r="35" spans="1:17" ht="12.75">
      <c r="A35" t="s">
        <v>25</v>
      </c>
      <c r="B35">
        <v>0.25</v>
      </c>
      <c r="C35" s="15">
        <v>38216.04733492906</v>
      </c>
      <c r="D35" s="15">
        <f>B35*C35</f>
        <v>9554.011833732266</v>
      </c>
      <c r="E35">
        <f>B$5/B35</f>
        <v>136</v>
      </c>
      <c r="G35">
        <v>0.5</v>
      </c>
      <c r="H35">
        <v>128</v>
      </c>
      <c r="J35" s="44">
        <v>1123</v>
      </c>
      <c r="K35" s="45" t="s">
        <v>125</v>
      </c>
      <c r="L35" s="37">
        <v>16623.9844444444</v>
      </c>
      <c r="M35" s="44">
        <v>33</v>
      </c>
      <c r="N35" s="37">
        <v>2</v>
      </c>
      <c r="O35" s="15">
        <f t="shared" si="2"/>
        <v>14667.760520782418</v>
      </c>
      <c r="P35" s="15">
        <f t="shared" si="0"/>
        <v>484036.0971858198</v>
      </c>
      <c r="Q35" s="15">
        <f t="shared" si="1"/>
        <v>548591.4866666652</v>
      </c>
    </row>
    <row r="36" spans="1:17" ht="12.75">
      <c r="A36" t="s">
        <v>26</v>
      </c>
      <c r="B36">
        <f>80*180</f>
        <v>14400</v>
      </c>
      <c r="D36" s="22">
        <f>0.26*B36</f>
        <v>3744</v>
      </c>
      <c r="G36">
        <v>7434</v>
      </c>
      <c r="H36" t="s">
        <v>10</v>
      </c>
      <c r="J36" s="44">
        <v>1157</v>
      </c>
      <c r="K36" s="45" t="s">
        <v>125</v>
      </c>
      <c r="L36" s="37">
        <v>10187.5243333333</v>
      </c>
      <c r="M36" s="44">
        <v>42</v>
      </c>
      <c r="N36" s="37">
        <v>3</v>
      </c>
      <c r="O36" s="15">
        <f t="shared" si="2"/>
        <v>14667.760520782418</v>
      </c>
      <c r="P36" s="15">
        <f t="shared" si="0"/>
        <v>616045.9418728616</v>
      </c>
      <c r="Q36" s="15">
        <f t="shared" si="1"/>
        <v>427876.0219999986</v>
      </c>
    </row>
    <row r="37" spans="10:17" ht="12.75">
      <c r="J37" s="44">
        <v>1194</v>
      </c>
      <c r="K37" s="45" t="s">
        <v>125</v>
      </c>
      <c r="L37" s="37">
        <v>9298.30546099291</v>
      </c>
      <c r="M37" s="44">
        <v>39</v>
      </c>
      <c r="N37" s="37">
        <v>0</v>
      </c>
      <c r="O37" s="15">
        <f t="shared" si="2"/>
        <v>14667.760520782418</v>
      </c>
      <c r="P37" s="15">
        <f t="shared" si="0"/>
        <v>572042.6603105143</v>
      </c>
      <c r="Q37" s="15">
        <f t="shared" si="1"/>
        <v>362633.91297872347</v>
      </c>
    </row>
    <row r="38" spans="1:17" ht="12.75">
      <c r="A38" t="s">
        <v>27</v>
      </c>
      <c r="J38" s="44">
        <v>1213</v>
      </c>
      <c r="K38" s="45" t="s">
        <v>125</v>
      </c>
      <c r="L38" s="37">
        <v>12684.7148780488</v>
      </c>
      <c r="M38" s="44">
        <v>35</v>
      </c>
      <c r="N38" s="37">
        <v>7</v>
      </c>
      <c r="O38" s="15">
        <f t="shared" si="2"/>
        <v>14667.760520782418</v>
      </c>
      <c r="P38" s="15">
        <f t="shared" si="0"/>
        <v>513371.61822738464</v>
      </c>
      <c r="Q38" s="15">
        <f t="shared" si="1"/>
        <v>443965.02073170803</v>
      </c>
    </row>
    <row r="39" spans="1:17" ht="12.75">
      <c r="A39" t="s">
        <v>13</v>
      </c>
      <c r="B39">
        <f>34/H39</f>
        <v>0.3984375</v>
      </c>
      <c r="C39" s="15">
        <v>66157.3544068731</v>
      </c>
      <c r="D39" s="15">
        <f>B39*C39</f>
        <v>26359.5708964885</v>
      </c>
      <c r="G39">
        <v>0.75</v>
      </c>
      <c r="H39" s="5">
        <v>85.33333333333333</v>
      </c>
      <c r="J39" s="44">
        <v>1215</v>
      </c>
      <c r="K39" s="45" t="s">
        <v>125</v>
      </c>
      <c r="L39" s="37">
        <v>15054.07578125</v>
      </c>
      <c r="M39" s="44">
        <v>18</v>
      </c>
      <c r="N39" s="37">
        <v>3</v>
      </c>
      <c r="O39" s="15">
        <f t="shared" si="2"/>
        <v>14667.760520782418</v>
      </c>
      <c r="P39" s="15">
        <f t="shared" si="0"/>
        <v>264019.68937408354</v>
      </c>
      <c r="Q39" s="15">
        <f t="shared" si="1"/>
        <v>270973.3640625</v>
      </c>
    </row>
    <row r="40" spans="1:17" ht="12.75">
      <c r="A40" t="s">
        <v>14</v>
      </c>
      <c r="B40">
        <v>0.5</v>
      </c>
      <c r="C40" s="15">
        <v>25044.977520676086</v>
      </c>
      <c r="D40" s="15">
        <f>B40*C40</f>
        <v>12522.488760338043</v>
      </c>
      <c r="E40">
        <f>B$5/B40</f>
        <v>68</v>
      </c>
      <c r="G40">
        <v>0.5</v>
      </c>
      <c r="H40">
        <v>128</v>
      </c>
      <c r="J40" s="44">
        <v>1233</v>
      </c>
      <c r="K40" s="45" t="s">
        <v>125</v>
      </c>
      <c r="L40" s="37">
        <v>12619.4252380952</v>
      </c>
      <c r="M40" s="44">
        <v>36</v>
      </c>
      <c r="N40" s="37">
        <v>2</v>
      </c>
      <c r="O40" s="15">
        <f t="shared" si="2"/>
        <v>14667.760520782418</v>
      </c>
      <c r="P40" s="15">
        <f t="shared" si="0"/>
        <v>528039.3787481671</v>
      </c>
      <c r="Q40" s="15">
        <f t="shared" si="1"/>
        <v>454299.3085714272</v>
      </c>
    </row>
    <row r="41" spans="10:17" ht="12.75">
      <c r="J41" s="44">
        <v>1289</v>
      </c>
      <c r="K41" s="45" t="s">
        <v>125</v>
      </c>
      <c r="L41" s="37">
        <v>10924.1413953488</v>
      </c>
      <c r="M41" s="44">
        <v>32</v>
      </c>
      <c r="N41" s="37">
        <v>1</v>
      </c>
      <c r="O41" s="15">
        <f t="shared" si="2"/>
        <v>14667.760520782418</v>
      </c>
      <c r="P41" s="15">
        <f t="shared" si="0"/>
        <v>469368.3366650374</v>
      </c>
      <c r="Q41" s="15">
        <f t="shared" si="1"/>
        <v>349572.5246511616</v>
      </c>
    </row>
    <row r="42" spans="1:17" ht="12.75">
      <c r="A42" t="s">
        <v>28</v>
      </c>
      <c r="H42" t="s">
        <v>35</v>
      </c>
      <c r="J42" s="44">
        <v>1293</v>
      </c>
      <c r="K42" s="45" t="s">
        <v>125</v>
      </c>
      <c r="L42" s="37">
        <v>11873.7157446809</v>
      </c>
      <c r="M42" s="44">
        <v>44</v>
      </c>
      <c r="N42" s="37">
        <v>8</v>
      </c>
      <c r="O42" s="15">
        <f t="shared" si="2"/>
        <v>14667.760520782418</v>
      </c>
      <c r="P42" s="15">
        <f t="shared" si="0"/>
        <v>645381.4629144263</v>
      </c>
      <c r="Q42" s="15">
        <f t="shared" si="1"/>
        <v>522443.4927659596</v>
      </c>
    </row>
    <row r="43" spans="1:17" ht="12.75">
      <c r="A43" t="s">
        <v>29</v>
      </c>
      <c r="B43">
        <v>400</v>
      </c>
      <c r="D43" s="15">
        <v>400</v>
      </c>
      <c r="H43">
        <v>300</v>
      </c>
      <c r="J43" s="44">
        <v>1537</v>
      </c>
      <c r="K43" s="45" t="s">
        <v>125</v>
      </c>
      <c r="L43" s="37">
        <v>17504.5262857143</v>
      </c>
      <c r="M43" s="44">
        <v>38</v>
      </c>
      <c r="N43" s="37">
        <v>1</v>
      </c>
      <c r="O43" s="15">
        <f t="shared" si="2"/>
        <v>14667.760520782418</v>
      </c>
      <c r="P43" s="15">
        <f t="shared" si="0"/>
        <v>557374.8997897318</v>
      </c>
      <c r="Q43" s="15">
        <f t="shared" si="1"/>
        <v>665171.9988571433</v>
      </c>
    </row>
    <row r="44" spans="1:16" ht="12.75">
      <c r="A44" t="s">
        <v>30</v>
      </c>
      <c r="B44">
        <v>300</v>
      </c>
      <c r="D44" s="15">
        <v>300</v>
      </c>
      <c r="H44">
        <v>150</v>
      </c>
      <c r="M44">
        <f>SUM(M2:M43)</f>
        <v>1309</v>
      </c>
      <c r="N44" s="15">
        <f>SUM(N2:N43)</f>
        <v>128</v>
      </c>
      <c r="O44"/>
      <c r="P44" s="15">
        <f>SUM(P2:P43)</f>
        <v>19200098.52170419</v>
      </c>
    </row>
    <row r="45" spans="1:16" ht="12.75">
      <c r="A45" t="s">
        <v>31</v>
      </c>
      <c r="B45">
        <v>500</v>
      </c>
      <c r="D45" s="15">
        <v>500</v>
      </c>
      <c r="H45">
        <v>275</v>
      </c>
      <c r="K45" s="105" t="s">
        <v>140</v>
      </c>
      <c r="L45" s="106"/>
      <c r="M45" s="107"/>
      <c r="N45" s="15">
        <v>1120.9674845874997</v>
      </c>
      <c r="O45" s="35"/>
      <c r="P45" s="15">
        <f>P44+N48</f>
        <v>20660886.10672579</v>
      </c>
    </row>
    <row r="46" spans="1:16" ht="12.75">
      <c r="A46" t="s">
        <v>32</v>
      </c>
      <c r="B46">
        <v>80</v>
      </c>
      <c r="D46" s="15">
        <v>80</v>
      </c>
      <c r="H46">
        <v>20</v>
      </c>
      <c r="K46" s="105" t="s">
        <v>141</v>
      </c>
      <c r="L46" s="106"/>
      <c r="M46" s="107"/>
      <c r="N46" s="37">
        <v>10291.435523393748</v>
      </c>
      <c r="O46"/>
      <c r="P46"/>
    </row>
    <row r="47" spans="1:16" ht="12.75">
      <c r="A47" t="s">
        <v>33</v>
      </c>
      <c r="B47">
        <v>700</v>
      </c>
      <c r="D47" s="15">
        <v>700</v>
      </c>
      <c r="H47">
        <v>600</v>
      </c>
      <c r="K47" s="105" t="s">
        <v>142</v>
      </c>
      <c r="L47" s="106"/>
      <c r="M47" s="107"/>
      <c r="N47" s="15">
        <f>SUM(N45:N46)</f>
        <v>11412.403007981247</v>
      </c>
      <c r="O47"/>
      <c r="P47"/>
    </row>
    <row r="48" spans="1:16" ht="12.75">
      <c r="A48" t="s">
        <v>34</v>
      </c>
      <c r="B48">
        <v>50</v>
      </c>
      <c r="D48" s="15">
        <v>50</v>
      </c>
      <c r="K48" s="105" t="s">
        <v>143</v>
      </c>
      <c r="L48" s="106"/>
      <c r="M48" s="107"/>
      <c r="N48" s="37">
        <f>N44*N47</f>
        <v>1460787.5850215997</v>
      </c>
      <c r="O48"/>
      <c r="P48"/>
    </row>
    <row r="50" spans="1:4" ht="12.75">
      <c r="A50" t="s">
        <v>134</v>
      </c>
      <c r="D50" s="15">
        <f>SUM(D10:D40)+SUM(D43:D48)*B5</f>
        <v>439791.053798526</v>
      </c>
    </row>
    <row r="51" spans="1:4" ht="12.75">
      <c r="A51" t="s">
        <v>137</v>
      </c>
      <c r="D51" s="15">
        <f>D50/34</f>
        <v>12935.030994074294</v>
      </c>
    </row>
    <row r="52" spans="1:4" ht="12.75">
      <c r="A52" t="s">
        <v>138</v>
      </c>
      <c r="D52" s="15">
        <v>1732.7295267081247</v>
      </c>
    </row>
    <row r="53" spans="1:4" ht="12.75">
      <c r="A53" t="s">
        <v>135</v>
      </c>
      <c r="D53" s="15">
        <f>SUM(D51:D52)</f>
        <v>14667.760520782418</v>
      </c>
    </row>
    <row r="54" spans="1:4" ht="12.75">
      <c r="A54" t="s">
        <v>136</v>
      </c>
      <c r="D54" s="15">
        <f>+'Additional Costs'!B16</f>
        <v>1120.9674845874997</v>
      </c>
    </row>
    <row r="55" spans="1:4" ht="12.75">
      <c r="A55" t="s">
        <v>208</v>
      </c>
      <c r="D55" s="15">
        <f>+'Additional Costs'!B25</f>
        <v>10291.435523393748</v>
      </c>
    </row>
    <row r="56" spans="1:4" ht="12.75">
      <c r="A56" t="s">
        <v>209</v>
      </c>
      <c r="D56" s="15">
        <f>+D55+D54</f>
        <v>11412.403007981247</v>
      </c>
    </row>
  </sheetData>
  <mergeCells count="4">
    <mergeCell ref="K45:M45"/>
    <mergeCell ref="K46:M46"/>
    <mergeCell ref="K47:M47"/>
    <mergeCell ref="K48:M48"/>
  </mergeCells>
  <printOptions gridLines="1"/>
  <pageMargins left="0.75" right="0.75" top="1" bottom="1" header="0.5" footer="0.5"/>
  <pageSetup fitToHeight="1" fitToWidth="1" horizontalDpi="300" verticalDpi="3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A1">
      <selection activeCell="I42" sqref="I42"/>
    </sheetView>
  </sheetViews>
  <sheetFormatPr defaultColWidth="9.140625" defaultRowHeight="12.75"/>
  <cols>
    <col min="1" max="1" width="20.00390625" style="0" customWidth="1"/>
    <col min="3" max="3" width="10.28125" style="15" bestFit="1" customWidth="1"/>
    <col min="4" max="4" width="11.28125" style="15" bestFit="1" customWidth="1"/>
    <col min="9" max="9" width="10.7109375" style="0" customWidth="1"/>
    <col min="12" max="12" width="10.28125" style="15" bestFit="1" customWidth="1"/>
    <col min="13" max="13" width="9.28125" style="15" bestFit="1" customWidth="1"/>
    <col min="14" max="14" width="12.8515625" style="15" bestFit="1" customWidth="1"/>
    <col min="15" max="15" width="9.28125" style="15" bestFit="1" customWidth="1"/>
    <col min="16" max="16" width="14.00390625" style="15" bestFit="1" customWidth="1"/>
    <col min="17" max="17" width="12.8515625" style="15" bestFit="1" customWidth="1"/>
  </cols>
  <sheetData>
    <row r="1" spans="1:18" ht="40.5">
      <c r="A1" s="1" t="s">
        <v>2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42</v>
      </c>
      <c r="J2" s="46">
        <v>6</v>
      </c>
      <c r="K2" s="47" t="s">
        <v>119</v>
      </c>
      <c r="L2" s="37">
        <v>6851.85970972424</v>
      </c>
      <c r="M2" s="37">
        <v>106</v>
      </c>
      <c r="N2" s="37">
        <v>18</v>
      </c>
      <c r="O2" s="15">
        <f>+$D$54</f>
        <v>9772.953415153705</v>
      </c>
      <c r="P2" s="15">
        <f aca="true" t="shared" si="0" ref="P2:P65">M2*O2</f>
        <v>1035933.0620062926</v>
      </c>
      <c r="Q2" s="15">
        <f aca="true" t="shared" si="1" ref="Q2:Q65">L2*M2</f>
        <v>726297.1292307695</v>
      </c>
    </row>
    <row r="3" spans="1:17" ht="12.75">
      <c r="A3" t="s">
        <v>51</v>
      </c>
      <c r="B3">
        <f>COUNT(M2:M87)</f>
        <v>86</v>
      </c>
      <c r="G3" t="s">
        <v>9</v>
      </c>
      <c r="J3" s="46">
        <v>56</v>
      </c>
      <c r="K3" s="47" t="s">
        <v>119</v>
      </c>
      <c r="L3" s="37">
        <v>4337.52</v>
      </c>
      <c r="M3" s="37">
        <v>50</v>
      </c>
      <c r="N3" s="37">
        <v>1</v>
      </c>
      <c r="O3" s="15">
        <f aca="true" t="shared" si="2" ref="O3:O66">+$D$54</f>
        <v>9772.953415153705</v>
      </c>
      <c r="P3" s="15">
        <f t="shared" si="0"/>
        <v>488647.6707576852</v>
      </c>
      <c r="Q3" s="15">
        <f t="shared" si="1"/>
        <v>216876.00000000003</v>
      </c>
    </row>
    <row r="4" spans="10:17" ht="12.75">
      <c r="J4" s="46">
        <v>85</v>
      </c>
      <c r="K4" s="47" t="s">
        <v>119</v>
      </c>
      <c r="L4" s="37">
        <v>9079.34410526316</v>
      </c>
      <c r="M4" s="37">
        <v>78</v>
      </c>
      <c r="N4" s="37">
        <v>6</v>
      </c>
      <c r="O4" s="15">
        <f t="shared" si="2"/>
        <v>9772.953415153705</v>
      </c>
      <c r="P4" s="15">
        <f t="shared" si="0"/>
        <v>762290.366381989</v>
      </c>
      <c r="Q4" s="15">
        <f t="shared" si="1"/>
        <v>708188.8402105265</v>
      </c>
    </row>
    <row r="5" spans="1:17" ht="12.75">
      <c r="A5" t="s">
        <v>5</v>
      </c>
      <c r="B5">
        <v>90</v>
      </c>
      <c r="G5">
        <v>200</v>
      </c>
      <c r="J5" s="46">
        <v>95</v>
      </c>
      <c r="K5" s="47" t="s">
        <v>119</v>
      </c>
      <c r="L5" s="37">
        <v>8046.47157894737</v>
      </c>
      <c r="M5" s="37">
        <v>54</v>
      </c>
      <c r="N5" s="37">
        <v>0</v>
      </c>
      <c r="O5" s="15">
        <f t="shared" si="2"/>
        <v>9772.953415153705</v>
      </c>
      <c r="P5" s="15">
        <f t="shared" si="0"/>
        <v>527739.4844183001</v>
      </c>
      <c r="Q5" s="15">
        <f t="shared" si="1"/>
        <v>434509.46526315797</v>
      </c>
    </row>
    <row r="6" spans="1:17" ht="12.75">
      <c r="A6" t="s">
        <v>6</v>
      </c>
      <c r="B6" s="3">
        <f>B5*E6</f>
        <v>35.28</v>
      </c>
      <c r="E6" s="4">
        <v>0.392</v>
      </c>
      <c r="G6">
        <v>80</v>
      </c>
      <c r="H6" s="4">
        <v>0.4</v>
      </c>
      <c r="J6" s="46">
        <v>98</v>
      </c>
      <c r="K6" s="47" t="s">
        <v>119</v>
      </c>
      <c r="L6" s="37">
        <v>5917.76342592593</v>
      </c>
      <c r="M6" s="37">
        <v>82</v>
      </c>
      <c r="N6" s="37">
        <v>7</v>
      </c>
      <c r="O6" s="15">
        <f t="shared" si="2"/>
        <v>9772.953415153705</v>
      </c>
      <c r="P6" s="15">
        <f t="shared" si="0"/>
        <v>801382.1800426038</v>
      </c>
      <c r="Q6" s="15">
        <f t="shared" si="1"/>
        <v>485256.6009259263</v>
      </c>
    </row>
    <row r="7" spans="1:17" ht="12.75">
      <c r="A7" t="s">
        <v>7</v>
      </c>
      <c r="B7" s="3">
        <f>B5*E7</f>
        <v>7.92</v>
      </c>
      <c r="E7" s="4">
        <v>0.088</v>
      </c>
      <c r="G7">
        <v>44</v>
      </c>
      <c r="H7" s="4">
        <v>0.22</v>
      </c>
      <c r="J7" s="46">
        <v>118</v>
      </c>
      <c r="K7" s="47" t="s">
        <v>119</v>
      </c>
      <c r="L7" s="37">
        <v>7623.19418367347</v>
      </c>
      <c r="M7" s="37">
        <v>55</v>
      </c>
      <c r="N7" s="37">
        <v>4</v>
      </c>
      <c r="O7" s="15">
        <f t="shared" si="2"/>
        <v>9772.953415153705</v>
      </c>
      <c r="P7" s="15">
        <f t="shared" si="0"/>
        <v>537512.4378334538</v>
      </c>
      <c r="Q7" s="15">
        <f t="shared" si="1"/>
        <v>419275.6801020409</v>
      </c>
    </row>
    <row r="8" spans="1:17" ht="12.75">
      <c r="A8" t="s">
        <v>8</v>
      </c>
      <c r="B8" s="3">
        <f>B5*E8</f>
        <v>11.25</v>
      </c>
      <c r="E8" s="4">
        <v>0.125</v>
      </c>
      <c r="G8">
        <v>26</v>
      </c>
      <c r="H8" s="4">
        <v>0.13</v>
      </c>
      <c r="J8" s="46">
        <v>160</v>
      </c>
      <c r="K8" s="47" t="s">
        <v>119</v>
      </c>
      <c r="L8" s="37">
        <v>7495.62532994924</v>
      </c>
      <c r="M8" s="37">
        <v>119</v>
      </c>
      <c r="N8" s="37">
        <v>13</v>
      </c>
      <c r="O8" s="15">
        <f t="shared" si="2"/>
        <v>9772.953415153705</v>
      </c>
      <c r="P8" s="15">
        <f t="shared" si="0"/>
        <v>1162981.4564032909</v>
      </c>
      <c r="Q8" s="15">
        <f t="shared" si="1"/>
        <v>891979.4142639595</v>
      </c>
    </row>
    <row r="9" spans="5:17" ht="12.75">
      <c r="E9" s="4"/>
      <c r="J9" s="46">
        <v>168</v>
      </c>
      <c r="K9" s="47" t="s">
        <v>119</v>
      </c>
      <c r="L9" s="37">
        <v>7217.47648514852</v>
      </c>
      <c r="M9" s="37">
        <v>127</v>
      </c>
      <c r="N9" s="37">
        <v>6</v>
      </c>
      <c r="O9" s="15">
        <f t="shared" si="2"/>
        <v>9772.953415153705</v>
      </c>
      <c r="P9" s="15">
        <f t="shared" si="0"/>
        <v>1241165.0837245204</v>
      </c>
      <c r="Q9" s="15">
        <f t="shared" si="1"/>
        <v>916619.513613862</v>
      </c>
    </row>
    <row r="10" spans="1:17" ht="12.75">
      <c r="A10" t="s">
        <v>18</v>
      </c>
      <c r="J10" s="46">
        <v>173</v>
      </c>
      <c r="K10" s="47" t="s">
        <v>119</v>
      </c>
      <c r="L10" s="37">
        <v>5837.93703862661</v>
      </c>
      <c r="M10" s="37">
        <v>122</v>
      </c>
      <c r="N10" s="37">
        <v>0</v>
      </c>
      <c r="O10" s="15">
        <f t="shared" si="2"/>
        <v>9772.953415153705</v>
      </c>
      <c r="P10" s="15">
        <f t="shared" si="0"/>
        <v>1192300.316648752</v>
      </c>
      <c r="Q10" s="15">
        <f t="shared" si="1"/>
        <v>712228.3187124464</v>
      </c>
    </row>
    <row r="11" spans="1:17" ht="12.75">
      <c r="A11" t="s">
        <v>15</v>
      </c>
      <c r="B11">
        <v>6</v>
      </c>
      <c r="C11" s="15">
        <v>42914.98927153859</v>
      </c>
      <c r="D11" s="15">
        <f>B11*C11</f>
        <v>257489.9356292315</v>
      </c>
      <c r="E11" s="14">
        <v>15</v>
      </c>
      <c r="G11">
        <v>11</v>
      </c>
      <c r="H11" s="5">
        <v>18.181818181818183</v>
      </c>
      <c r="J11" s="46">
        <v>183</v>
      </c>
      <c r="K11" s="47" t="s">
        <v>119</v>
      </c>
      <c r="L11" s="37">
        <v>8225.23852173913</v>
      </c>
      <c r="M11" s="37">
        <v>72</v>
      </c>
      <c r="N11" s="37">
        <v>7</v>
      </c>
      <c r="O11" s="15">
        <f t="shared" si="2"/>
        <v>9772.953415153705</v>
      </c>
      <c r="P11" s="15">
        <f t="shared" si="0"/>
        <v>703652.6458910668</v>
      </c>
      <c r="Q11" s="15">
        <f t="shared" si="1"/>
        <v>592217.1735652173</v>
      </c>
    </row>
    <row r="12" spans="1:17" ht="12.75">
      <c r="A12" t="s">
        <v>16</v>
      </c>
      <c r="B12">
        <v>3</v>
      </c>
      <c r="C12" s="15">
        <v>42914.98927153859</v>
      </c>
      <c r="D12" s="15">
        <f>B12*C12</f>
        <v>128744.96781461575</v>
      </c>
      <c r="E12" s="14">
        <v>30</v>
      </c>
      <c r="G12">
        <v>2</v>
      </c>
      <c r="H12">
        <v>100</v>
      </c>
      <c r="J12" s="46">
        <v>188</v>
      </c>
      <c r="K12" s="47" t="s">
        <v>119</v>
      </c>
      <c r="L12" s="37">
        <v>6606.48343434343</v>
      </c>
      <c r="M12" s="37">
        <v>51</v>
      </c>
      <c r="N12" s="37">
        <v>12</v>
      </c>
      <c r="O12" s="15">
        <f t="shared" si="2"/>
        <v>9772.953415153705</v>
      </c>
      <c r="P12" s="15">
        <f t="shared" si="0"/>
        <v>498420.6241728389</v>
      </c>
      <c r="Q12" s="15">
        <f t="shared" si="1"/>
        <v>336930.655151515</v>
      </c>
    </row>
    <row r="13" spans="2:17" ht="12.75">
      <c r="B13">
        <f>SUM(B11:B12)</f>
        <v>9</v>
      </c>
      <c r="E13" s="14">
        <v>10</v>
      </c>
      <c r="G13">
        <f>SUM(G11:G12)</f>
        <v>13</v>
      </c>
      <c r="H13" s="14">
        <f>200/13</f>
        <v>15.384615384615385</v>
      </c>
      <c r="J13" s="46">
        <v>197</v>
      </c>
      <c r="K13" s="47" t="s">
        <v>119</v>
      </c>
      <c r="L13" s="37">
        <v>9220.715</v>
      </c>
      <c r="M13" s="37">
        <v>66</v>
      </c>
      <c r="N13" s="37">
        <v>7</v>
      </c>
      <c r="O13" s="15">
        <f t="shared" si="2"/>
        <v>9772.953415153705</v>
      </c>
      <c r="P13" s="15">
        <f t="shared" si="0"/>
        <v>645014.9254001445</v>
      </c>
      <c r="Q13" s="15">
        <f t="shared" si="1"/>
        <v>608567.1900000001</v>
      </c>
    </row>
    <row r="14" spans="5:17" ht="12.75">
      <c r="E14" s="14"/>
      <c r="H14" s="5"/>
      <c r="J14" s="46">
        <v>240</v>
      </c>
      <c r="K14" s="47" t="s">
        <v>119</v>
      </c>
      <c r="L14" s="37">
        <v>4664.19696428571</v>
      </c>
      <c r="M14" s="37">
        <v>75</v>
      </c>
      <c r="N14" s="37">
        <v>4</v>
      </c>
      <c r="O14" s="15">
        <f t="shared" si="2"/>
        <v>9772.953415153705</v>
      </c>
      <c r="P14" s="15">
        <f t="shared" si="0"/>
        <v>732971.5061365279</v>
      </c>
      <c r="Q14" s="15">
        <f t="shared" si="1"/>
        <v>349814.7723214283</v>
      </c>
    </row>
    <row r="15" spans="1:17" ht="12.75">
      <c r="A15" t="s">
        <v>17</v>
      </c>
      <c r="B15" s="14">
        <v>2</v>
      </c>
      <c r="C15" s="15">
        <v>20738.494724169057</v>
      </c>
      <c r="D15" s="15">
        <f>B15*C15</f>
        <v>41476.989448338114</v>
      </c>
      <c r="E15">
        <f>B$5/B15</f>
        <v>45</v>
      </c>
      <c r="G15">
        <v>2</v>
      </c>
      <c r="H15">
        <v>100</v>
      </c>
      <c r="J15" s="46">
        <v>259</v>
      </c>
      <c r="K15" s="47" t="s">
        <v>119</v>
      </c>
      <c r="L15" s="37">
        <v>4704.18555555556</v>
      </c>
      <c r="M15" s="37">
        <v>63</v>
      </c>
      <c r="N15" s="37">
        <v>2</v>
      </c>
      <c r="O15" s="15">
        <f t="shared" si="2"/>
        <v>9772.953415153705</v>
      </c>
      <c r="P15" s="15">
        <f t="shared" si="0"/>
        <v>615696.0651546834</v>
      </c>
      <c r="Q15" s="15">
        <f t="shared" si="1"/>
        <v>296363.6900000003</v>
      </c>
    </row>
    <row r="16" spans="2:17" ht="12.75">
      <c r="B16" s="14"/>
      <c r="H16" s="5"/>
      <c r="J16" s="46">
        <v>267</v>
      </c>
      <c r="K16" s="47" t="s">
        <v>119</v>
      </c>
      <c r="L16" s="37">
        <v>8829.83133603239</v>
      </c>
      <c r="M16" s="37">
        <v>114</v>
      </c>
      <c r="N16" s="37">
        <v>14</v>
      </c>
      <c r="O16" s="15">
        <f t="shared" si="2"/>
        <v>9772.953415153705</v>
      </c>
      <c r="P16" s="15">
        <f t="shared" si="0"/>
        <v>1114116.6893275224</v>
      </c>
      <c r="Q16" s="15">
        <f t="shared" si="1"/>
        <v>1006600.7723076924</v>
      </c>
    </row>
    <row r="17" spans="1:17" ht="12.75">
      <c r="A17" t="s">
        <v>19</v>
      </c>
      <c r="B17" s="14">
        <v>1</v>
      </c>
      <c r="C17" s="15">
        <v>42914.98927153859</v>
      </c>
      <c r="D17" s="15">
        <f>B17*C17</f>
        <v>42914.98927153859</v>
      </c>
      <c r="E17" s="3">
        <f>B$8/B17</f>
        <v>11.25</v>
      </c>
      <c r="G17">
        <v>1</v>
      </c>
      <c r="H17" s="5">
        <v>26</v>
      </c>
      <c r="J17" s="46">
        <v>333</v>
      </c>
      <c r="K17" s="47" t="s">
        <v>119</v>
      </c>
      <c r="L17" s="37">
        <v>9997.17791767554</v>
      </c>
      <c r="M17" s="37">
        <v>121</v>
      </c>
      <c r="N17" s="37">
        <v>5</v>
      </c>
      <c r="O17" s="15">
        <f t="shared" si="2"/>
        <v>9772.953415153705</v>
      </c>
      <c r="P17" s="15">
        <f t="shared" si="0"/>
        <v>1182527.3632335982</v>
      </c>
      <c r="Q17" s="15">
        <f t="shared" si="1"/>
        <v>1209658.5280387404</v>
      </c>
    </row>
    <row r="18" spans="1:17" ht="12.75">
      <c r="A18" t="s">
        <v>16</v>
      </c>
      <c r="B18" s="14"/>
      <c r="E18" s="3"/>
      <c r="J18" s="46">
        <v>380</v>
      </c>
      <c r="K18" s="47" t="s">
        <v>119</v>
      </c>
      <c r="L18" s="37">
        <v>7319.45530120482</v>
      </c>
      <c r="M18" s="37">
        <v>59</v>
      </c>
      <c r="N18" s="37">
        <v>6</v>
      </c>
      <c r="O18" s="15">
        <f t="shared" si="2"/>
        <v>9772.953415153705</v>
      </c>
      <c r="P18" s="15">
        <f t="shared" si="0"/>
        <v>576604.2514940685</v>
      </c>
      <c r="Q18" s="15">
        <f t="shared" si="1"/>
        <v>431847.86277108436</v>
      </c>
    </row>
    <row r="19" spans="1:17" ht="12.75">
      <c r="A19" t="s">
        <v>17</v>
      </c>
      <c r="B19" s="14">
        <v>2</v>
      </c>
      <c r="C19" s="15">
        <v>20738.494724169057</v>
      </c>
      <c r="D19" s="15">
        <f>B19*C19</f>
        <v>41476.989448338114</v>
      </c>
      <c r="E19" s="3">
        <f>B$8/B19</f>
        <v>5.625</v>
      </c>
      <c r="G19">
        <v>3</v>
      </c>
      <c r="H19" s="5">
        <v>8.666666666666666</v>
      </c>
      <c r="J19" s="46">
        <v>409</v>
      </c>
      <c r="K19" s="47" t="s">
        <v>119</v>
      </c>
      <c r="L19" s="37">
        <v>6495.46355769231</v>
      </c>
      <c r="M19" s="37">
        <v>77</v>
      </c>
      <c r="N19" s="37">
        <v>6</v>
      </c>
      <c r="O19" s="15">
        <f t="shared" si="2"/>
        <v>9772.953415153705</v>
      </c>
      <c r="P19" s="15">
        <f t="shared" si="0"/>
        <v>752517.4129668352</v>
      </c>
      <c r="Q19" s="15">
        <f t="shared" si="1"/>
        <v>500150.6939423079</v>
      </c>
    </row>
    <row r="20" spans="2:17" ht="12.75">
      <c r="B20" s="14"/>
      <c r="E20" s="3"/>
      <c r="H20" s="5"/>
      <c r="J20" s="46">
        <v>410</v>
      </c>
      <c r="K20" s="47" t="s">
        <v>119</v>
      </c>
      <c r="L20" s="37">
        <v>5779.48283870968</v>
      </c>
      <c r="M20" s="37">
        <v>119</v>
      </c>
      <c r="N20" s="37">
        <v>10</v>
      </c>
      <c r="O20" s="15">
        <f t="shared" si="2"/>
        <v>9772.953415153705</v>
      </c>
      <c r="P20" s="15">
        <f t="shared" si="0"/>
        <v>1162981.4564032909</v>
      </c>
      <c r="Q20" s="15">
        <f t="shared" si="1"/>
        <v>687758.457806452</v>
      </c>
    </row>
    <row r="21" spans="2:17" ht="12.75">
      <c r="B21" s="14"/>
      <c r="E21" s="3"/>
      <c r="H21" s="5"/>
      <c r="J21" s="46">
        <v>411</v>
      </c>
      <c r="K21" s="47" t="s">
        <v>119</v>
      </c>
      <c r="L21" s="37">
        <v>5602.25603550296</v>
      </c>
      <c r="M21" s="37">
        <v>128</v>
      </c>
      <c r="N21" s="37">
        <v>1</v>
      </c>
      <c r="O21" s="15">
        <f t="shared" si="2"/>
        <v>9772.953415153705</v>
      </c>
      <c r="P21" s="15">
        <f t="shared" si="0"/>
        <v>1250938.0371396742</v>
      </c>
      <c r="Q21" s="15">
        <f t="shared" si="1"/>
        <v>717088.7725443789</v>
      </c>
    </row>
    <row r="22" spans="1:17" ht="12.75">
      <c r="A22" t="s">
        <v>20</v>
      </c>
      <c r="B22" s="14"/>
      <c r="E22" s="3"/>
      <c r="H22" s="5"/>
      <c r="J22" s="46">
        <v>420</v>
      </c>
      <c r="K22" s="47" t="s">
        <v>119</v>
      </c>
      <c r="L22" s="37">
        <v>6648.10649761337</v>
      </c>
      <c r="M22" s="37">
        <v>122</v>
      </c>
      <c r="N22" s="37">
        <v>32</v>
      </c>
      <c r="O22" s="15">
        <f t="shared" si="2"/>
        <v>9772.953415153705</v>
      </c>
      <c r="P22" s="15">
        <f t="shared" si="0"/>
        <v>1192300.316648752</v>
      </c>
      <c r="Q22" s="15">
        <f t="shared" si="1"/>
        <v>811068.9927088312</v>
      </c>
    </row>
    <row r="23" spans="1:17" ht="12.75">
      <c r="A23" t="s">
        <v>11</v>
      </c>
      <c r="B23" s="14">
        <v>0.5</v>
      </c>
      <c r="C23" s="15">
        <v>46319.211226175925</v>
      </c>
      <c r="D23" s="15">
        <f>B23*C23</f>
        <v>23159.605613087962</v>
      </c>
      <c r="E23" s="3">
        <f>B$5/B23</f>
        <v>180</v>
      </c>
      <c r="G23">
        <v>0.5</v>
      </c>
      <c r="H23" s="5">
        <v>400</v>
      </c>
      <c r="J23" s="46">
        <v>428</v>
      </c>
      <c r="K23" s="47" t="s">
        <v>119</v>
      </c>
      <c r="L23" s="37">
        <v>5757.99397435897</v>
      </c>
      <c r="M23" s="37">
        <v>66</v>
      </c>
      <c r="N23" s="37">
        <v>2</v>
      </c>
      <c r="O23" s="15">
        <f t="shared" si="2"/>
        <v>9772.953415153705</v>
      </c>
      <c r="P23" s="15">
        <f t="shared" si="0"/>
        <v>645014.9254001445</v>
      </c>
      <c r="Q23" s="15">
        <f t="shared" si="1"/>
        <v>380027.60230769205</v>
      </c>
    </row>
    <row r="24" spans="1:17" ht="12.75">
      <c r="A24" t="s">
        <v>58</v>
      </c>
      <c r="B24" s="14">
        <v>0.25</v>
      </c>
      <c r="C24" s="15">
        <v>37487.41846994718</v>
      </c>
      <c r="D24" s="15">
        <f>B24*C24</f>
        <v>9371.854617486795</v>
      </c>
      <c r="E24" s="3">
        <f>B$5/B24</f>
        <v>360</v>
      </c>
      <c r="G24">
        <v>0.25</v>
      </c>
      <c r="H24" s="5">
        <v>800</v>
      </c>
      <c r="J24" s="46">
        <v>429</v>
      </c>
      <c r="K24" s="47" t="s">
        <v>119</v>
      </c>
      <c r="L24" s="37">
        <v>6769.34333333333</v>
      </c>
      <c r="M24" s="37">
        <v>118</v>
      </c>
      <c r="N24" s="37">
        <v>14</v>
      </c>
      <c r="O24" s="15">
        <f t="shared" si="2"/>
        <v>9772.953415153705</v>
      </c>
      <c r="P24" s="15">
        <f t="shared" si="0"/>
        <v>1153208.502988137</v>
      </c>
      <c r="Q24" s="15">
        <f t="shared" si="1"/>
        <v>798782.5133333328</v>
      </c>
    </row>
    <row r="25" spans="2:17" ht="12.75">
      <c r="B25" s="14"/>
      <c r="E25" s="3"/>
      <c r="H25" s="5"/>
      <c r="J25" s="46">
        <v>435</v>
      </c>
      <c r="K25" s="47" t="s">
        <v>119</v>
      </c>
      <c r="L25" s="37">
        <v>7191.33888888889</v>
      </c>
      <c r="M25" s="37">
        <v>111</v>
      </c>
      <c r="N25" s="37">
        <v>9</v>
      </c>
      <c r="O25" s="15">
        <f t="shared" si="2"/>
        <v>9772.953415153705</v>
      </c>
      <c r="P25" s="15">
        <f t="shared" si="0"/>
        <v>1084797.8290820613</v>
      </c>
      <c r="Q25" s="15">
        <f t="shared" si="1"/>
        <v>798238.6166666668</v>
      </c>
    </row>
    <row r="26" spans="1:17" ht="12.75">
      <c r="A26" t="s">
        <v>19</v>
      </c>
      <c r="B26" s="14"/>
      <c r="E26" s="3"/>
      <c r="H26" s="5"/>
      <c r="J26" s="46">
        <v>436</v>
      </c>
      <c r="K26" s="47" t="s">
        <v>119</v>
      </c>
      <c r="L26" s="37">
        <v>5228.46933333333</v>
      </c>
      <c r="M26" s="37">
        <v>143</v>
      </c>
      <c r="N26" s="37">
        <v>13</v>
      </c>
      <c r="O26" s="15">
        <f t="shared" si="2"/>
        <v>9772.953415153705</v>
      </c>
      <c r="P26" s="15">
        <f t="shared" si="0"/>
        <v>1397532.3383669797</v>
      </c>
      <c r="Q26" s="15">
        <f t="shared" si="1"/>
        <v>747671.1146666661</v>
      </c>
    </row>
    <row r="27" spans="1:17" ht="12.75">
      <c r="A27" s="6" t="s">
        <v>22</v>
      </c>
      <c r="B27" s="14">
        <v>0.1</v>
      </c>
      <c r="C27" s="15">
        <v>46396.4268055664</v>
      </c>
      <c r="D27" s="15">
        <f>B27*C27</f>
        <v>4639.64268055664</v>
      </c>
      <c r="E27" s="3">
        <f>B$8/B27</f>
        <v>112.5</v>
      </c>
      <c r="G27">
        <v>0.2</v>
      </c>
      <c r="H27" s="5">
        <v>130</v>
      </c>
      <c r="J27" s="46">
        <v>455</v>
      </c>
      <c r="K27" s="47" t="s">
        <v>119</v>
      </c>
      <c r="L27" s="37">
        <v>5860.21288288288</v>
      </c>
      <c r="M27" s="37">
        <v>88</v>
      </c>
      <c r="N27" s="37">
        <v>9</v>
      </c>
      <c r="O27" s="15">
        <f t="shared" si="2"/>
        <v>9772.953415153705</v>
      </c>
      <c r="P27" s="15">
        <f t="shared" si="0"/>
        <v>860019.900533526</v>
      </c>
      <c r="Q27" s="15">
        <f t="shared" si="1"/>
        <v>515698.7336936934</v>
      </c>
    </row>
    <row r="28" spans="1:17" ht="12.75">
      <c r="A28" t="s">
        <v>23</v>
      </c>
      <c r="B28" s="14">
        <v>0.25</v>
      </c>
      <c r="C28" s="15">
        <v>48090.39947775422</v>
      </c>
      <c r="D28" s="15">
        <f>B28*C28</f>
        <v>12022.599869438554</v>
      </c>
      <c r="E28" s="3">
        <f>B$8/B28</f>
        <v>45</v>
      </c>
      <c r="G28">
        <v>0.33</v>
      </c>
      <c r="H28" s="5">
        <v>78.78787878787878</v>
      </c>
      <c r="J28" s="46">
        <v>457</v>
      </c>
      <c r="K28" s="47" t="s">
        <v>119</v>
      </c>
      <c r="L28" s="37">
        <v>10006.3875471698</v>
      </c>
      <c r="M28" s="37">
        <v>61</v>
      </c>
      <c r="N28" s="37">
        <v>9</v>
      </c>
      <c r="O28" s="15">
        <f t="shared" si="2"/>
        <v>9772.953415153705</v>
      </c>
      <c r="P28" s="15">
        <f t="shared" si="0"/>
        <v>596150.158324376</v>
      </c>
      <c r="Q28" s="15">
        <f t="shared" si="1"/>
        <v>610389.6403773577</v>
      </c>
    </row>
    <row r="29" spans="2:17" ht="12.75">
      <c r="B29" s="14"/>
      <c r="E29" s="3"/>
      <c r="H29" s="5"/>
      <c r="J29" s="46">
        <v>485</v>
      </c>
      <c r="K29" s="47" t="s">
        <v>119</v>
      </c>
      <c r="L29" s="37">
        <v>7715.61641975309</v>
      </c>
      <c r="M29" s="37">
        <v>65</v>
      </c>
      <c r="N29" s="37">
        <v>7</v>
      </c>
      <c r="O29" s="15">
        <f t="shared" si="2"/>
        <v>9772.953415153705</v>
      </c>
      <c r="P29" s="15">
        <f t="shared" si="0"/>
        <v>635241.9719849908</v>
      </c>
      <c r="Q29" s="15">
        <f t="shared" si="1"/>
        <v>501515.06728395086</v>
      </c>
    </row>
    <row r="30" spans="2:17" ht="12.75">
      <c r="B30" s="14"/>
      <c r="E30" s="3"/>
      <c r="H30" s="5"/>
      <c r="J30" s="46">
        <v>486</v>
      </c>
      <c r="K30" s="47" t="s">
        <v>119</v>
      </c>
      <c r="L30" s="37">
        <v>6514.95478873239</v>
      </c>
      <c r="M30" s="37">
        <v>107</v>
      </c>
      <c r="N30" s="37">
        <v>7</v>
      </c>
      <c r="O30" s="15">
        <f t="shared" si="2"/>
        <v>9772.953415153705</v>
      </c>
      <c r="P30" s="15">
        <f t="shared" si="0"/>
        <v>1045706.0154214464</v>
      </c>
      <c r="Q30" s="15">
        <f t="shared" si="1"/>
        <v>697100.1623943656</v>
      </c>
    </row>
    <row r="31" spans="2:17" ht="12.75">
      <c r="B31" s="14"/>
      <c r="E31" s="3"/>
      <c r="H31" s="5"/>
      <c r="J31" s="46">
        <v>488</v>
      </c>
      <c r="K31" s="47" t="s">
        <v>119</v>
      </c>
      <c r="L31" s="37">
        <v>6289.74132978723</v>
      </c>
      <c r="M31" s="37">
        <v>142</v>
      </c>
      <c r="N31" s="37">
        <v>8</v>
      </c>
      <c r="O31" s="15">
        <f t="shared" si="2"/>
        <v>9772.953415153705</v>
      </c>
      <c r="P31" s="15">
        <f t="shared" si="0"/>
        <v>1387759.384951826</v>
      </c>
      <c r="Q31" s="15">
        <f t="shared" si="1"/>
        <v>893143.2688297867</v>
      </c>
    </row>
    <row r="32" spans="2:17" ht="12.75">
      <c r="B32" s="14"/>
      <c r="E32" s="3"/>
      <c r="H32" s="5"/>
      <c r="J32" s="46">
        <v>495</v>
      </c>
      <c r="K32" s="47" t="s">
        <v>119</v>
      </c>
      <c r="L32" s="37">
        <v>8875.18081896551</v>
      </c>
      <c r="M32" s="37">
        <v>125</v>
      </c>
      <c r="N32" s="37">
        <v>20</v>
      </c>
      <c r="O32" s="15">
        <f t="shared" si="2"/>
        <v>9772.953415153705</v>
      </c>
      <c r="P32" s="15">
        <f t="shared" si="0"/>
        <v>1221619.176894213</v>
      </c>
      <c r="Q32" s="15">
        <f t="shared" si="1"/>
        <v>1109397.6023706887</v>
      </c>
    </row>
    <row r="33" spans="1:17" ht="12.75">
      <c r="A33" t="s">
        <v>12</v>
      </c>
      <c r="B33" s="14"/>
      <c r="E33" s="3"/>
      <c r="H33" s="5"/>
      <c r="J33" s="46">
        <v>497</v>
      </c>
      <c r="K33" s="47" t="s">
        <v>119</v>
      </c>
      <c r="L33" s="37">
        <v>10886.9678301887</v>
      </c>
      <c r="M33" s="37">
        <v>99</v>
      </c>
      <c r="N33" s="37">
        <v>3</v>
      </c>
      <c r="O33" s="15">
        <f t="shared" si="2"/>
        <v>9772.953415153705</v>
      </c>
      <c r="P33" s="15">
        <f t="shared" si="0"/>
        <v>967522.3881002167</v>
      </c>
      <c r="Q33" s="15">
        <f t="shared" si="1"/>
        <v>1077809.8151886812</v>
      </c>
    </row>
    <row r="34" spans="1:17" ht="12.75">
      <c r="A34" t="s">
        <v>24</v>
      </c>
      <c r="B34" s="14">
        <v>0.5</v>
      </c>
      <c r="C34" s="15">
        <v>41163.357056373745</v>
      </c>
      <c r="D34" s="15">
        <f>B34*C34</f>
        <v>20581.678528186872</v>
      </c>
      <c r="E34" s="3">
        <f>B$5/B34</f>
        <v>180</v>
      </c>
      <c r="G34">
        <v>0.5</v>
      </c>
      <c r="H34" s="5">
        <v>400</v>
      </c>
      <c r="J34" s="46">
        <v>498</v>
      </c>
      <c r="K34" s="47" t="s">
        <v>119</v>
      </c>
      <c r="L34" s="37">
        <v>7098.37479452055</v>
      </c>
      <c r="M34" s="37">
        <v>71</v>
      </c>
      <c r="N34" s="37">
        <v>1</v>
      </c>
      <c r="O34" s="15">
        <f t="shared" si="2"/>
        <v>9772.953415153705</v>
      </c>
      <c r="P34" s="15">
        <f t="shared" si="0"/>
        <v>693879.692475913</v>
      </c>
      <c r="Q34" s="15">
        <f t="shared" si="1"/>
        <v>503984.610410959</v>
      </c>
    </row>
    <row r="35" spans="1:17" ht="12.75">
      <c r="A35" t="s">
        <v>25</v>
      </c>
      <c r="B35" s="14">
        <v>0.5</v>
      </c>
      <c r="C35" s="15">
        <v>38216.04733492906</v>
      </c>
      <c r="D35" s="15">
        <f>B35*C35</f>
        <v>19108.02366746453</v>
      </c>
      <c r="E35" s="3">
        <f>B$5/B35</f>
        <v>180</v>
      </c>
      <c r="G35">
        <v>0.7</v>
      </c>
      <c r="H35" s="5">
        <v>285.7142857142857</v>
      </c>
      <c r="J35" s="46">
        <v>500</v>
      </c>
      <c r="K35" s="47" t="s">
        <v>119</v>
      </c>
      <c r="L35" s="37">
        <v>7345.07494252873</v>
      </c>
      <c r="M35" s="37">
        <v>75</v>
      </c>
      <c r="N35" s="37">
        <v>2</v>
      </c>
      <c r="O35" s="15">
        <f t="shared" si="2"/>
        <v>9772.953415153705</v>
      </c>
      <c r="P35" s="15">
        <f t="shared" si="0"/>
        <v>732971.5061365279</v>
      </c>
      <c r="Q35" s="15">
        <f t="shared" si="1"/>
        <v>550880.6206896547</v>
      </c>
    </row>
    <row r="36" spans="1:17" ht="12.75">
      <c r="A36" t="s">
        <v>26</v>
      </c>
      <c r="B36" s="14"/>
      <c r="D36" s="15">
        <v>14400</v>
      </c>
      <c r="E36" s="3"/>
      <c r="G36" s="7">
        <v>12600</v>
      </c>
      <c r="H36" s="5" t="s">
        <v>10</v>
      </c>
      <c r="J36" s="46">
        <v>550</v>
      </c>
      <c r="K36" s="47" t="s">
        <v>119</v>
      </c>
      <c r="L36" s="37">
        <v>9114.64356435644</v>
      </c>
      <c r="M36" s="37">
        <v>62</v>
      </c>
      <c r="N36" s="37">
        <v>7</v>
      </c>
      <c r="O36" s="15">
        <f t="shared" si="2"/>
        <v>9772.953415153705</v>
      </c>
      <c r="P36" s="15">
        <f t="shared" si="0"/>
        <v>605923.1117395296</v>
      </c>
      <c r="Q36" s="15">
        <f t="shared" si="1"/>
        <v>565107.9009900993</v>
      </c>
    </row>
    <row r="37" spans="2:17" ht="12.75">
      <c r="B37" s="14"/>
      <c r="E37" s="3"/>
      <c r="H37" s="5"/>
      <c r="J37" s="46">
        <v>560</v>
      </c>
      <c r="K37" s="47" t="s">
        <v>119</v>
      </c>
      <c r="L37" s="37">
        <v>8119.86715555555</v>
      </c>
      <c r="M37" s="37">
        <v>96</v>
      </c>
      <c r="N37" s="37">
        <v>18</v>
      </c>
      <c r="O37" s="15">
        <f t="shared" si="2"/>
        <v>9772.953415153705</v>
      </c>
      <c r="P37" s="15">
        <f t="shared" si="0"/>
        <v>938203.5278547556</v>
      </c>
      <c r="Q37" s="15">
        <f t="shared" si="1"/>
        <v>779507.2469333329</v>
      </c>
    </row>
    <row r="38" spans="1:17" ht="12.75">
      <c r="A38" t="s">
        <v>27</v>
      </c>
      <c r="B38" s="14"/>
      <c r="E38" s="3"/>
      <c r="H38" s="5"/>
      <c r="J38" s="46">
        <v>563</v>
      </c>
      <c r="K38" s="47" t="s">
        <v>119</v>
      </c>
      <c r="L38" s="37">
        <v>6779.76448529412</v>
      </c>
      <c r="M38" s="37">
        <v>94</v>
      </c>
      <c r="N38" s="37">
        <v>15</v>
      </c>
      <c r="O38" s="15">
        <f t="shared" si="2"/>
        <v>9772.953415153705</v>
      </c>
      <c r="P38" s="15">
        <f t="shared" si="0"/>
        <v>918657.6210244482</v>
      </c>
      <c r="Q38" s="15">
        <f t="shared" si="1"/>
        <v>637297.8616176473</v>
      </c>
    </row>
    <row r="39" spans="1:17" ht="12.75">
      <c r="A39" t="s">
        <v>13</v>
      </c>
      <c r="B39" s="14">
        <v>0.5</v>
      </c>
      <c r="C39" s="15">
        <v>66157.3544068731</v>
      </c>
      <c r="D39" s="15">
        <f>B39*C39</f>
        <v>33078.67720343655</v>
      </c>
      <c r="E39" s="3">
        <f>B$5/B39</f>
        <v>180</v>
      </c>
      <c r="G39">
        <v>1</v>
      </c>
      <c r="H39" s="5">
        <v>200</v>
      </c>
      <c r="J39" s="46">
        <v>617</v>
      </c>
      <c r="K39" s="47" t="s">
        <v>119</v>
      </c>
      <c r="L39" s="37">
        <v>9442.7702919708</v>
      </c>
      <c r="M39" s="37">
        <v>50</v>
      </c>
      <c r="N39" s="37">
        <v>5</v>
      </c>
      <c r="O39" s="15">
        <f t="shared" si="2"/>
        <v>9772.953415153705</v>
      </c>
      <c r="P39" s="15">
        <f t="shared" si="0"/>
        <v>488647.6707576852</v>
      </c>
      <c r="Q39" s="15">
        <f t="shared" si="1"/>
        <v>472138.51459854003</v>
      </c>
    </row>
    <row r="40" spans="1:17" ht="12.75">
      <c r="A40" t="s">
        <v>59</v>
      </c>
      <c r="B40" s="14"/>
      <c r="E40" s="3"/>
      <c r="G40">
        <v>0</v>
      </c>
      <c r="H40" s="5">
        <v>0</v>
      </c>
      <c r="J40" s="46">
        <v>622</v>
      </c>
      <c r="K40" s="47" t="s">
        <v>119</v>
      </c>
      <c r="L40" s="37">
        <v>10332.8217142857</v>
      </c>
      <c r="M40" s="37">
        <v>72</v>
      </c>
      <c r="N40" s="37">
        <v>0</v>
      </c>
      <c r="O40" s="15">
        <f t="shared" si="2"/>
        <v>9772.953415153705</v>
      </c>
      <c r="P40" s="15">
        <f t="shared" si="0"/>
        <v>703652.6458910668</v>
      </c>
      <c r="Q40" s="15">
        <f t="shared" si="1"/>
        <v>743963.1634285704</v>
      </c>
    </row>
    <row r="41" spans="1:17" ht="12.75">
      <c r="A41" t="s">
        <v>14</v>
      </c>
      <c r="B41" s="14">
        <v>1</v>
      </c>
      <c r="C41" s="15">
        <v>25044.977520676086</v>
      </c>
      <c r="D41" s="15">
        <f>B41*C41</f>
        <v>25044.977520676086</v>
      </c>
      <c r="E41" s="3">
        <f>B$5/B41</f>
        <v>90</v>
      </c>
      <c r="G41">
        <v>1</v>
      </c>
      <c r="H41">
        <v>200</v>
      </c>
      <c r="J41" s="46">
        <v>675</v>
      </c>
      <c r="K41" s="47" t="s">
        <v>119</v>
      </c>
      <c r="L41" s="37">
        <v>7433.45951327433</v>
      </c>
      <c r="M41" s="37">
        <v>85</v>
      </c>
      <c r="N41" s="37">
        <v>9</v>
      </c>
      <c r="O41" s="15">
        <f t="shared" si="2"/>
        <v>9772.953415153705</v>
      </c>
      <c r="P41" s="15">
        <f t="shared" si="0"/>
        <v>830701.0402880649</v>
      </c>
      <c r="Q41" s="15">
        <f t="shared" si="1"/>
        <v>631844.058628318</v>
      </c>
    </row>
    <row r="42" spans="2:17" ht="12.75">
      <c r="B42" s="14"/>
      <c r="J42" s="46">
        <v>684</v>
      </c>
      <c r="K42" s="47" t="s">
        <v>119</v>
      </c>
      <c r="L42" s="37">
        <v>7964.22873015873</v>
      </c>
      <c r="M42" s="37">
        <v>111</v>
      </c>
      <c r="N42" s="37">
        <v>11</v>
      </c>
      <c r="O42" s="15">
        <f t="shared" si="2"/>
        <v>9772.953415153705</v>
      </c>
      <c r="P42" s="15">
        <f t="shared" si="0"/>
        <v>1084797.8290820613</v>
      </c>
      <c r="Q42" s="15">
        <f t="shared" si="1"/>
        <v>884029.3890476191</v>
      </c>
    </row>
    <row r="43" spans="1:17" ht="12.75">
      <c r="A43" t="s">
        <v>28</v>
      </c>
      <c r="B43" s="14"/>
      <c r="H43" t="s">
        <v>35</v>
      </c>
      <c r="J43" s="46">
        <v>717</v>
      </c>
      <c r="K43" s="47" t="s">
        <v>119</v>
      </c>
      <c r="L43" s="37">
        <v>5295.92084745763</v>
      </c>
      <c r="M43" s="37">
        <v>50</v>
      </c>
      <c r="N43" s="37">
        <v>13</v>
      </c>
      <c r="O43" s="15">
        <f t="shared" si="2"/>
        <v>9772.953415153705</v>
      </c>
      <c r="P43" s="15">
        <f t="shared" si="0"/>
        <v>488647.6707576852</v>
      </c>
      <c r="Q43" s="15">
        <f t="shared" si="1"/>
        <v>264796.0423728815</v>
      </c>
    </row>
    <row r="44" spans="1:17" ht="12.75">
      <c r="A44" t="s">
        <v>29</v>
      </c>
      <c r="D44" s="15">
        <v>250</v>
      </c>
      <c r="H44">
        <v>200</v>
      </c>
      <c r="J44" s="46">
        <v>721</v>
      </c>
      <c r="K44" s="47" t="s">
        <v>119</v>
      </c>
      <c r="L44" s="37">
        <v>7682.556</v>
      </c>
      <c r="M44" s="37">
        <v>100</v>
      </c>
      <c r="N44" s="37">
        <v>11</v>
      </c>
      <c r="O44" s="15">
        <f t="shared" si="2"/>
        <v>9772.953415153705</v>
      </c>
      <c r="P44" s="15">
        <f t="shared" si="0"/>
        <v>977295.3415153704</v>
      </c>
      <c r="Q44" s="15">
        <f t="shared" si="1"/>
        <v>768255.6</v>
      </c>
    </row>
    <row r="45" spans="1:17" ht="12.75">
      <c r="A45" t="s">
        <v>30</v>
      </c>
      <c r="D45" s="15">
        <v>100</v>
      </c>
      <c r="H45">
        <v>50</v>
      </c>
      <c r="J45" s="46">
        <v>723</v>
      </c>
      <c r="K45" s="47" t="s">
        <v>119</v>
      </c>
      <c r="L45" s="37">
        <v>8769.58623931624</v>
      </c>
      <c r="M45" s="37">
        <v>120</v>
      </c>
      <c r="N45" s="37">
        <v>15</v>
      </c>
      <c r="O45" s="15">
        <f t="shared" si="2"/>
        <v>9772.953415153705</v>
      </c>
      <c r="P45" s="15">
        <f t="shared" si="0"/>
        <v>1172754.4098184446</v>
      </c>
      <c r="Q45" s="15">
        <f t="shared" si="1"/>
        <v>1052350.348717949</v>
      </c>
    </row>
    <row r="46" spans="1:17" ht="12.75">
      <c r="A46" t="s">
        <v>31</v>
      </c>
      <c r="D46" s="15">
        <v>300</v>
      </c>
      <c r="H46">
        <v>275</v>
      </c>
      <c r="J46" s="46">
        <v>732</v>
      </c>
      <c r="K46" s="47" t="s">
        <v>119</v>
      </c>
      <c r="L46" s="37">
        <v>5828.61</v>
      </c>
      <c r="M46" s="37">
        <v>64</v>
      </c>
      <c r="N46" s="37">
        <v>9</v>
      </c>
      <c r="O46" s="15">
        <f t="shared" si="2"/>
        <v>9772.953415153705</v>
      </c>
      <c r="P46" s="15">
        <f t="shared" si="0"/>
        <v>625469.0185698371</v>
      </c>
      <c r="Q46" s="15">
        <f t="shared" si="1"/>
        <v>373031.04</v>
      </c>
    </row>
    <row r="47" spans="1:17" ht="12.75">
      <c r="A47" t="s">
        <v>32</v>
      </c>
      <c r="D47" s="15">
        <v>50</v>
      </c>
      <c r="H47">
        <v>20</v>
      </c>
      <c r="J47" s="46">
        <v>765</v>
      </c>
      <c r="K47" s="47" t="s">
        <v>119</v>
      </c>
      <c r="L47" s="37">
        <v>8177.57166666667</v>
      </c>
      <c r="M47" s="37">
        <v>85</v>
      </c>
      <c r="N47" s="37">
        <v>14</v>
      </c>
      <c r="O47" s="15">
        <f t="shared" si="2"/>
        <v>9772.953415153705</v>
      </c>
      <c r="P47" s="15">
        <f t="shared" si="0"/>
        <v>830701.0402880649</v>
      </c>
      <c r="Q47" s="15">
        <f t="shared" si="1"/>
        <v>695093.591666667</v>
      </c>
    </row>
    <row r="48" spans="1:17" ht="12.75">
      <c r="A48" t="s">
        <v>33</v>
      </c>
      <c r="D48" s="15">
        <v>50</v>
      </c>
      <c r="H48">
        <v>50</v>
      </c>
      <c r="J48" s="46">
        <v>770</v>
      </c>
      <c r="K48" s="47" t="s">
        <v>119</v>
      </c>
      <c r="L48" s="37">
        <v>11044.0393142857</v>
      </c>
      <c r="M48" s="37">
        <v>80</v>
      </c>
      <c r="N48" s="37">
        <v>8</v>
      </c>
      <c r="O48" s="15">
        <f t="shared" si="2"/>
        <v>9772.953415153705</v>
      </c>
      <c r="P48" s="15">
        <f t="shared" si="0"/>
        <v>781836.2732122964</v>
      </c>
      <c r="Q48" s="15">
        <f t="shared" si="1"/>
        <v>883523.1451428559</v>
      </c>
    </row>
    <row r="49" spans="1:17" ht="12.75">
      <c r="A49" t="s">
        <v>34</v>
      </c>
      <c r="D49" s="15">
        <v>25</v>
      </c>
      <c r="J49" s="46">
        <v>793</v>
      </c>
      <c r="K49" s="47" t="s">
        <v>119</v>
      </c>
      <c r="L49" s="37">
        <v>5658.68439252336</v>
      </c>
      <c r="M49" s="37">
        <v>75</v>
      </c>
      <c r="N49" s="37">
        <v>8</v>
      </c>
      <c r="O49" s="15">
        <f t="shared" si="2"/>
        <v>9772.953415153705</v>
      </c>
      <c r="P49" s="15">
        <f t="shared" si="0"/>
        <v>732971.5061365279</v>
      </c>
      <c r="Q49" s="15">
        <f t="shared" si="1"/>
        <v>424401.329439252</v>
      </c>
    </row>
    <row r="50" spans="5:17" ht="12.75">
      <c r="E50" s="14"/>
      <c r="J50" s="46">
        <v>796</v>
      </c>
      <c r="K50" s="47" t="s">
        <v>119</v>
      </c>
      <c r="L50" s="37">
        <v>8088.76666666667</v>
      </c>
      <c r="M50" s="37">
        <v>97</v>
      </c>
      <c r="N50" s="37">
        <v>22</v>
      </c>
      <c r="O50" s="15">
        <f t="shared" si="2"/>
        <v>9772.953415153705</v>
      </c>
      <c r="P50" s="15">
        <f t="shared" si="0"/>
        <v>947976.4812699093</v>
      </c>
      <c r="Q50" s="15">
        <f t="shared" si="1"/>
        <v>784610.366666667</v>
      </c>
    </row>
    <row r="51" spans="1:17" ht="12.75">
      <c r="A51" t="s">
        <v>134</v>
      </c>
      <c r="D51" s="15">
        <f>SUM(D11:D41)+SUM(D44:D49)*B5</f>
        <v>743260.931312396</v>
      </c>
      <c r="J51" s="46">
        <v>799</v>
      </c>
      <c r="K51" s="47" t="s">
        <v>119</v>
      </c>
      <c r="L51" s="37">
        <v>7948.13548913044</v>
      </c>
      <c r="M51" s="37">
        <v>145</v>
      </c>
      <c r="N51" s="37">
        <v>14</v>
      </c>
      <c r="O51" s="15">
        <f t="shared" si="2"/>
        <v>9772.953415153705</v>
      </c>
      <c r="P51" s="15">
        <f t="shared" si="0"/>
        <v>1417078.245197287</v>
      </c>
      <c r="Q51" s="15">
        <f t="shared" si="1"/>
        <v>1152479.6459239137</v>
      </c>
    </row>
    <row r="52" spans="1:17" ht="12.75">
      <c r="A52" t="s">
        <v>137</v>
      </c>
      <c r="D52" s="15">
        <f>D51/90</f>
        <v>8258.454792359955</v>
      </c>
      <c r="J52" s="46">
        <v>801</v>
      </c>
      <c r="K52" s="47" t="s">
        <v>119</v>
      </c>
      <c r="L52" s="37">
        <v>7063.88405797102</v>
      </c>
      <c r="M52" s="37">
        <v>143</v>
      </c>
      <c r="N52" s="37">
        <v>25</v>
      </c>
      <c r="O52" s="15">
        <f t="shared" si="2"/>
        <v>9772.953415153705</v>
      </c>
      <c r="P52" s="15">
        <f t="shared" si="0"/>
        <v>1397532.3383669797</v>
      </c>
      <c r="Q52" s="15">
        <f t="shared" si="1"/>
        <v>1010135.4202898559</v>
      </c>
    </row>
    <row r="53" spans="1:17" ht="12.75">
      <c r="A53" t="s">
        <v>138</v>
      </c>
      <c r="D53" s="15">
        <v>1514.4986227937495</v>
      </c>
      <c r="J53" s="46">
        <v>825</v>
      </c>
      <c r="K53" s="47" t="s">
        <v>119</v>
      </c>
      <c r="L53" s="37">
        <v>6960.8597260274</v>
      </c>
      <c r="M53" s="37">
        <v>107</v>
      </c>
      <c r="N53" s="37">
        <v>12</v>
      </c>
      <c r="O53" s="15">
        <f t="shared" si="2"/>
        <v>9772.953415153705</v>
      </c>
      <c r="P53" s="15">
        <f t="shared" si="0"/>
        <v>1045706.0154214464</v>
      </c>
      <c r="Q53" s="15">
        <f t="shared" si="1"/>
        <v>744811.9906849317</v>
      </c>
    </row>
    <row r="54" spans="1:17" ht="12.75">
      <c r="A54" t="s">
        <v>135</v>
      </c>
      <c r="D54" s="15">
        <f>SUM(D52:D53)</f>
        <v>9772.953415153705</v>
      </c>
      <c r="J54" s="46">
        <v>852</v>
      </c>
      <c r="K54" s="47" t="s">
        <v>119</v>
      </c>
      <c r="L54" s="37">
        <v>9555.56359223301</v>
      </c>
      <c r="M54" s="37">
        <v>51</v>
      </c>
      <c r="N54" s="37">
        <v>4</v>
      </c>
      <c r="O54" s="15">
        <f t="shared" si="2"/>
        <v>9772.953415153705</v>
      </c>
      <c r="P54" s="15">
        <f t="shared" si="0"/>
        <v>498420.6241728389</v>
      </c>
      <c r="Q54" s="15">
        <f t="shared" si="1"/>
        <v>487333.74320388347</v>
      </c>
    </row>
    <row r="55" spans="1:17" ht="12.75">
      <c r="A55" t="s">
        <v>136</v>
      </c>
      <c r="D55" s="15">
        <f>+'Additional Costs'!C16</f>
        <v>1656.4083362681247</v>
      </c>
      <c r="J55" s="46">
        <v>898</v>
      </c>
      <c r="K55" s="47" t="s">
        <v>119</v>
      </c>
      <c r="L55" s="37">
        <v>8256.52341269841</v>
      </c>
      <c r="M55" s="37">
        <v>86</v>
      </c>
      <c r="N55" s="37">
        <v>0</v>
      </c>
      <c r="O55" s="15">
        <f t="shared" si="2"/>
        <v>9772.953415153705</v>
      </c>
      <c r="P55" s="15">
        <f t="shared" si="0"/>
        <v>840473.9937032186</v>
      </c>
      <c r="Q55" s="15">
        <f t="shared" si="1"/>
        <v>710061.0134920633</v>
      </c>
    </row>
    <row r="56" spans="1:17" ht="12.75">
      <c r="A56" t="s">
        <v>208</v>
      </c>
      <c r="D56" s="15">
        <f>+'Additional Costs'!C25</f>
        <v>10465.543239084998</v>
      </c>
      <c r="J56" s="46">
        <v>930</v>
      </c>
      <c r="K56" s="47" t="s">
        <v>119</v>
      </c>
      <c r="L56" s="37">
        <v>5259.62584070796</v>
      </c>
      <c r="M56" s="37">
        <v>147</v>
      </c>
      <c r="N56" s="37">
        <v>8</v>
      </c>
      <c r="O56" s="15">
        <f t="shared" si="2"/>
        <v>9772.953415153705</v>
      </c>
      <c r="P56" s="15">
        <f t="shared" si="0"/>
        <v>1436624.1520275946</v>
      </c>
      <c r="Q56" s="15">
        <f t="shared" si="1"/>
        <v>773164.9985840701</v>
      </c>
    </row>
    <row r="57" spans="1:17" ht="12.75">
      <c r="A57" t="s">
        <v>209</v>
      </c>
      <c r="D57" s="15">
        <f>+D56+D55</f>
        <v>12121.951575353123</v>
      </c>
      <c r="J57" s="46">
        <v>954</v>
      </c>
      <c r="K57" s="47" t="s">
        <v>119</v>
      </c>
      <c r="L57" s="37">
        <v>10172.6940804598</v>
      </c>
      <c r="M57" s="37">
        <v>87</v>
      </c>
      <c r="N57" s="37">
        <v>5</v>
      </c>
      <c r="O57" s="15">
        <f t="shared" si="2"/>
        <v>9772.953415153705</v>
      </c>
      <c r="P57" s="15">
        <f t="shared" si="0"/>
        <v>850246.9471183723</v>
      </c>
      <c r="Q57" s="15">
        <f t="shared" si="1"/>
        <v>885024.3850000026</v>
      </c>
    </row>
    <row r="58" spans="10:17" ht="12.75">
      <c r="J58" s="46">
        <v>970</v>
      </c>
      <c r="K58" s="47" t="s">
        <v>119</v>
      </c>
      <c r="L58" s="37">
        <v>6241.8061627907</v>
      </c>
      <c r="M58" s="37">
        <v>80</v>
      </c>
      <c r="N58" s="37">
        <v>10</v>
      </c>
      <c r="O58" s="15">
        <f t="shared" si="2"/>
        <v>9772.953415153705</v>
      </c>
      <c r="P58" s="15">
        <f t="shared" si="0"/>
        <v>781836.2732122964</v>
      </c>
      <c r="Q58" s="15">
        <f t="shared" si="1"/>
        <v>499344.493023256</v>
      </c>
    </row>
    <row r="59" spans="10:17" ht="12.75">
      <c r="J59" s="46">
        <v>971</v>
      </c>
      <c r="K59" s="47" t="s">
        <v>119</v>
      </c>
      <c r="L59" s="37">
        <v>6940.10265486725</v>
      </c>
      <c r="M59" s="37">
        <v>145</v>
      </c>
      <c r="N59" s="37">
        <v>10</v>
      </c>
      <c r="O59" s="15">
        <f t="shared" si="2"/>
        <v>9772.953415153705</v>
      </c>
      <c r="P59" s="15">
        <f t="shared" si="0"/>
        <v>1417078.245197287</v>
      </c>
      <c r="Q59" s="15">
        <f t="shared" si="1"/>
        <v>1006314.8849557512</v>
      </c>
    </row>
    <row r="60" spans="10:17" ht="12.75">
      <c r="J60" s="46">
        <v>982</v>
      </c>
      <c r="K60" s="47" t="s">
        <v>119</v>
      </c>
      <c r="L60" s="37">
        <v>7074.71670731707</v>
      </c>
      <c r="M60" s="37">
        <v>57</v>
      </c>
      <c r="N60" s="37">
        <v>2</v>
      </c>
      <c r="O60" s="15">
        <f t="shared" si="2"/>
        <v>9772.953415153705</v>
      </c>
      <c r="P60" s="15">
        <f t="shared" si="0"/>
        <v>557058.3446637612</v>
      </c>
      <c r="Q60" s="15">
        <f t="shared" si="1"/>
        <v>403258.85231707303</v>
      </c>
    </row>
    <row r="61" spans="10:17" ht="12.75">
      <c r="J61" s="46">
        <v>986</v>
      </c>
      <c r="K61" s="47" t="s">
        <v>119</v>
      </c>
      <c r="L61" s="37">
        <v>7269.93587412588</v>
      </c>
      <c r="M61" s="37">
        <v>99</v>
      </c>
      <c r="N61" s="37">
        <v>8</v>
      </c>
      <c r="O61" s="15">
        <f t="shared" si="2"/>
        <v>9772.953415153705</v>
      </c>
      <c r="P61" s="15">
        <f t="shared" si="0"/>
        <v>967522.3881002167</v>
      </c>
      <c r="Q61" s="15">
        <f t="shared" si="1"/>
        <v>719723.6515384621</v>
      </c>
    </row>
    <row r="62" spans="10:17" ht="12.75">
      <c r="J62" s="46">
        <v>990</v>
      </c>
      <c r="K62" s="47" t="s">
        <v>119</v>
      </c>
      <c r="L62" s="37">
        <v>4793.71983606557</v>
      </c>
      <c r="M62" s="37">
        <v>58</v>
      </c>
      <c r="N62" s="37">
        <v>6</v>
      </c>
      <c r="O62" s="15">
        <f t="shared" si="2"/>
        <v>9772.953415153705</v>
      </c>
      <c r="P62" s="15">
        <f t="shared" si="0"/>
        <v>566831.2980789149</v>
      </c>
      <c r="Q62" s="15">
        <f t="shared" si="1"/>
        <v>278035.75049180305</v>
      </c>
    </row>
    <row r="63" spans="10:17" ht="12.75">
      <c r="J63" s="46">
        <v>1017</v>
      </c>
      <c r="K63" s="47" t="s">
        <v>119</v>
      </c>
      <c r="L63" s="37">
        <v>8202.34603550296</v>
      </c>
      <c r="M63" s="37">
        <v>119</v>
      </c>
      <c r="N63" s="37">
        <v>14</v>
      </c>
      <c r="O63" s="15">
        <f t="shared" si="2"/>
        <v>9772.953415153705</v>
      </c>
      <c r="P63" s="15">
        <f t="shared" si="0"/>
        <v>1162981.4564032909</v>
      </c>
      <c r="Q63" s="15">
        <f t="shared" si="1"/>
        <v>976079.1782248523</v>
      </c>
    </row>
    <row r="64" spans="10:17" ht="12.75">
      <c r="J64" s="46">
        <v>1050</v>
      </c>
      <c r="K64" s="47" t="s">
        <v>119</v>
      </c>
      <c r="L64" s="37">
        <v>7114.64025316456</v>
      </c>
      <c r="M64" s="37">
        <v>55</v>
      </c>
      <c r="N64" s="37">
        <v>8</v>
      </c>
      <c r="O64" s="15">
        <f t="shared" si="2"/>
        <v>9772.953415153705</v>
      </c>
      <c r="P64" s="15">
        <f t="shared" si="0"/>
        <v>537512.4378334538</v>
      </c>
      <c r="Q64" s="15">
        <f t="shared" si="1"/>
        <v>391305.2139240508</v>
      </c>
    </row>
    <row r="65" spans="10:17" ht="12.75">
      <c r="J65" s="46">
        <v>1054</v>
      </c>
      <c r="K65" s="47" t="s">
        <v>119</v>
      </c>
      <c r="L65" s="37">
        <v>8411.06838983051</v>
      </c>
      <c r="M65" s="37">
        <v>82</v>
      </c>
      <c r="N65" s="37">
        <v>3</v>
      </c>
      <c r="O65" s="15">
        <f t="shared" si="2"/>
        <v>9772.953415153705</v>
      </c>
      <c r="P65" s="15">
        <f t="shared" si="0"/>
        <v>801382.1800426038</v>
      </c>
      <c r="Q65" s="15">
        <f t="shared" si="1"/>
        <v>689707.6079661018</v>
      </c>
    </row>
    <row r="66" spans="10:17" ht="12.75">
      <c r="J66" s="46">
        <v>1057</v>
      </c>
      <c r="K66" s="47" t="s">
        <v>119</v>
      </c>
      <c r="L66" s="37">
        <v>6163.68714285714</v>
      </c>
      <c r="M66" s="37">
        <v>108</v>
      </c>
      <c r="N66" s="37">
        <v>5</v>
      </c>
      <c r="O66" s="15">
        <f t="shared" si="2"/>
        <v>9772.953415153705</v>
      </c>
      <c r="P66" s="15">
        <f aca="true" t="shared" si="3" ref="P66:P87">M66*O66</f>
        <v>1055478.9688366002</v>
      </c>
      <c r="Q66" s="15">
        <f aca="true" t="shared" si="4" ref="Q66:Q87">L66*M66</f>
        <v>665678.2114285711</v>
      </c>
    </row>
    <row r="67" spans="10:17" ht="12.75">
      <c r="J67" s="46">
        <v>1064</v>
      </c>
      <c r="K67" s="47" t="s">
        <v>119</v>
      </c>
      <c r="L67" s="37">
        <v>13338.5325714286</v>
      </c>
      <c r="M67" s="37">
        <v>57</v>
      </c>
      <c r="N67" s="37">
        <v>6</v>
      </c>
      <c r="O67" s="15">
        <f aca="true" t="shared" si="5" ref="O67:O87">+$D$54</f>
        <v>9772.953415153705</v>
      </c>
      <c r="P67" s="15">
        <f t="shared" si="3"/>
        <v>557058.3446637612</v>
      </c>
      <c r="Q67" s="15">
        <f t="shared" si="4"/>
        <v>760296.3565714301</v>
      </c>
    </row>
    <row r="68" spans="10:17" ht="12.75">
      <c r="J68" s="46">
        <v>1105</v>
      </c>
      <c r="K68" s="47" t="s">
        <v>119</v>
      </c>
      <c r="L68" s="37">
        <v>6769.636484375</v>
      </c>
      <c r="M68" s="37">
        <v>101</v>
      </c>
      <c r="N68" s="37">
        <v>16</v>
      </c>
      <c r="O68" s="15">
        <f t="shared" si="5"/>
        <v>9772.953415153705</v>
      </c>
      <c r="P68" s="15">
        <f t="shared" si="3"/>
        <v>987068.2949305242</v>
      </c>
      <c r="Q68" s="15">
        <f t="shared" si="4"/>
        <v>683733.284921875</v>
      </c>
    </row>
    <row r="69" spans="10:17" ht="12.75">
      <c r="J69" s="46">
        <v>1156</v>
      </c>
      <c r="K69" s="47" t="s">
        <v>119</v>
      </c>
      <c r="L69" s="37">
        <v>10187.5243333333</v>
      </c>
      <c r="M69" s="37">
        <v>58</v>
      </c>
      <c r="N69" s="37">
        <v>6</v>
      </c>
      <c r="O69" s="15">
        <f t="shared" si="5"/>
        <v>9772.953415153705</v>
      </c>
      <c r="P69" s="15">
        <f t="shared" si="3"/>
        <v>566831.2980789149</v>
      </c>
      <c r="Q69" s="15">
        <f t="shared" si="4"/>
        <v>590876.4113333314</v>
      </c>
    </row>
    <row r="70" spans="10:17" ht="12.75">
      <c r="J70" s="46">
        <v>1158</v>
      </c>
      <c r="K70" s="47" t="s">
        <v>119</v>
      </c>
      <c r="L70" s="37">
        <v>6378.7946875</v>
      </c>
      <c r="M70" s="37">
        <v>66</v>
      </c>
      <c r="N70" s="37">
        <v>4</v>
      </c>
      <c r="O70" s="15">
        <f t="shared" si="5"/>
        <v>9772.953415153705</v>
      </c>
      <c r="P70" s="15">
        <f t="shared" si="3"/>
        <v>645014.9254001445</v>
      </c>
      <c r="Q70" s="15">
        <f t="shared" si="4"/>
        <v>421000.44937499997</v>
      </c>
    </row>
    <row r="71" spans="10:17" ht="12.75">
      <c r="J71" s="46">
        <v>1167</v>
      </c>
      <c r="K71" s="47" t="s">
        <v>119</v>
      </c>
      <c r="L71" s="37">
        <v>7486.01176923077</v>
      </c>
      <c r="M71" s="37">
        <v>99</v>
      </c>
      <c r="N71" s="37">
        <v>0</v>
      </c>
      <c r="O71" s="15">
        <f t="shared" si="5"/>
        <v>9772.953415153705</v>
      </c>
      <c r="P71" s="15">
        <f t="shared" si="3"/>
        <v>967522.3881002167</v>
      </c>
      <c r="Q71" s="15">
        <f t="shared" si="4"/>
        <v>741115.1651538463</v>
      </c>
    </row>
    <row r="72" spans="10:17" ht="12.75">
      <c r="J72" s="46">
        <v>1193</v>
      </c>
      <c r="K72" s="47" t="s">
        <v>119</v>
      </c>
      <c r="L72" s="37">
        <v>9298.30546099291</v>
      </c>
      <c r="M72" s="37">
        <v>71</v>
      </c>
      <c r="N72" s="37">
        <v>5</v>
      </c>
      <c r="O72" s="15">
        <f t="shared" si="5"/>
        <v>9772.953415153705</v>
      </c>
      <c r="P72" s="15">
        <f t="shared" si="3"/>
        <v>693879.692475913</v>
      </c>
      <c r="Q72" s="15">
        <f t="shared" si="4"/>
        <v>660179.6877304965</v>
      </c>
    </row>
    <row r="73" spans="10:17" ht="12.75">
      <c r="J73" s="46">
        <v>1218</v>
      </c>
      <c r="K73" s="47" t="s">
        <v>119</v>
      </c>
      <c r="L73" s="37">
        <v>8665.92266666667</v>
      </c>
      <c r="M73" s="37">
        <v>80</v>
      </c>
      <c r="N73" s="37">
        <v>7</v>
      </c>
      <c r="O73" s="15">
        <f t="shared" si="5"/>
        <v>9772.953415153705</v>
      </c>
      <c r="P73" s="15">
        <f t="shared" si="3"/>
        <v>781836.2732122964</v>
      </c>
      <c r="Q73" s="15">
        <f t="shared" si="4"/>
        <v>693273.8133333335</v>
      </c>
    </row>
    <row r="74" spans="10:17" ht="12.75">
      <c r="J74" s="46">
        <v>1238</v>
      </c>
      <c r="K74" s="47" t="s">
        <v>119</v>
      </c>
      <c r="L74" s="37">
        <v>10797.2339375</v>
      </c>
      <c r="M74" s="37">
        <v>82</v>
      </c>
      <c r="N74" s="37">
        <v>1</v>
      </c>
      <c r="O74" s="15">
        <f t="shared" si="5"/>
        <v>9772.953415153705</v>
      </c>
      <c r="P74" s="15">
        <f t="shared" si="3"/>
        <v>801382.1800426038</v>
      </c>
      <c r="Q74" s="15">
        <f t="shared" si="4"/>
        <v>885373.1828749999</v>
      </c>
    </row>
    <row r="75" spans="10:17" ht="12.75">
      <c r="J75" s="46">
        <v>1292</v>
      </c>
      <c r="K75" s="47" t="s">
        <v>119</v>
      </c>
      <c r="L75" s="37">
        <v>5196.40227272727</v>
      </c>
      <c r="M75" s="37">
        <v>103</v>
      </c>
      <c r="N75" s="37">
        <v>8</v>
      </c>
      <c r="O75" s="15">
        <f t="shared" si="5"/>
        <v>9772.953415153705</v>
      </c>
      <c r="P75" s="15">
        <f t="shared" si="3"/>
        <v>1006614.2017608315</v>
      </c>
      <c r="Q75" s="15">
        <f t="shared" si="4"/>
        <v>535229.4340909088</v>
      </c>
    </row>
    <row r="76" spans="10:17" ht="12.75">
      <c r="J76" s="46">
        <v>1295</v>
      </c>
      <c r="K76" s="47" t="s">
        <v>119</v>
      </c>
      <c r="L76" s="37">
        <v>5808.09461538461</v>
      </c>
      <c r="M76" s="37">
        <v>93</v>
      </c>
      <c r="N76" s="37">
        <v>12</v>
      </c>
      <c r="O76" s="15">
        <f t="shared" si="5"/>
        <v>9772.953415153705</v>
      </c>
      <c r="P76" s="15">
        <f t="shared" si="3"/>
        <v>908884.6676092945</v>
      </c>
      <c r="Q76" s="15">
        <f t="shared" si="4"/>
        <v>540152.7992307687</v>
      </c>
    </row>
    <row r="77" spans="10:17" ht="12.75">
      <c r="J77" s="46">
        <v>1302</v>
      </c>
      <c r="K77" s="47" t="s">
        <v>119</v>
      </c>
      <c r="L77" s="37">
        <v>5725.40583333333</v>
      </c>
      <c r="M77" s="37">
        <v>52</v>
      </c>
      <c r="N77" s="37">
        <v>3</v>
      </c>
      <c r="O77" s="15">
        <f t="shared" si="5"/>
        <v>9772.953415153705</v>
      </c>
      <c r="P77" s="15">
        <f t="shared" si="3"/>
        <v>508193.57758799265</v>
      </c>
      <c r="Q77" s="15">
        <f t="shared" si="4"/>
        <v>297721.10333333316</v>
      </c>
    </row>
    <row r="78" spans="10:17" ht="12.75">
      <c r="J78" s="46">
        <v>1406</v>
      </c>
      <c r="K78" s="47" t="s">
        <v>119</v>
      </c>
      <c r="L78" s="37">
        <v>5828.61</v>
      </c>
      <c r="M78" s="37">
        <v>70</v>
      </c>
      <c r="N78" s="37">
        <v>8</v>
      </c>
      <c r="O78" s="15">
        <f t="shared" si="5"/>
        <v>9772.953415153705</v>
      </c>
      <c r="P78" s="15">
        <f t="shared" si="3"/>
        <v>684106.7390607593</v>
      </c>
      <c r="Q78" s="15">
        <f t="shared" si="4"/>
        <v>408002.69999999995</v>
      </c>
    </row>
    <row r="79" spans="10:17" ht="12.75">
      <c r="J79" s="46">
        <v>1411</v>
      </c>
      <c r="K79" s="47" t="s">
        <v>119</v>
      </c>
      <c r="L79" s="37">
        <v>6759.71376623377</v>
      </c>
      <c r="M79" s="37">
        <v>108</v>
      </c>
      <c r="N79" s="37">
        <v>9</v>
      </c>
      <c r="O79" s="15">
        <f t="shared" si="5"/>
        <v>9772.953415153705</v>
      </c>
      <c r="P79" s="15">
        <f t="shared" si="3"/>
        <v>1055478.9688366002</v>
      </c>
      <c r="Q79" s="15">
        <f t="shared" si="4"/>
        <v>730049.0867532472</v>
      </c>
    </row>
    <row r="80" spans="10:17" ht="12.75">
      <c r="J80" s="46">
        <v>1456</v>
      </c>
      <c r="K80" s="47" t="s">
        <v>119</v>
      </c>
      <c r="L80" s="37">
        <v>30802.9282089552</v>
      </c>
      <c r="M80" s="37">
        <v>83</v>
      </c>
      <c r="N80" s="37">
        <v>49</v>
      </c>
      <c r="O80" s="15">
        <f t="shared" si="5"/>
        <v>9772.953415153705</v>
      </c>
      <c r="P80" s="15">
        <f t="shared" si="3"/>
        <v>811155.1334577575</v>
      </c>
      <c r="Q80" s="15">
        <f t="shared" si="4"/>
        <v>2556643.0413432815</v>
      </c>
    </row>
    <row r="81" spans="10:17" ht="12.75">
      <c r="J81" s="46">
        <v>1466</v>
      </c>
      <c r="K81" s="47" t="s">
        <v>119</v>
      </c>
      <c r="L81" s="37">
        <v>9997.17791767554</v>
      </c>
      <c r="M81" s="37">
        <v>55</v>
      </c>
      <c r="N81" s="37">
        <v>5</v>
      </c>
      <c r="O81" s="15">
        <f t="shared" si="5"/>
        <v>9772.953415153705</v>
      </c>
      <c r="P81" s="15">
        <f t="shared" si="3"/>
        <v>537512.4378334538</v>
      </c>
      <c r="Q81" s="15">
        <f t="shared" si="4"/>
        <v>549844.7854721547</v>
      </c>
    </row>
    <row r="82" spans="10:17" ht="12.75">
      <c r="J82" s="46">
        <v>1541</v>
      </c>
      <c r="K82" s="47" t="s">
        <v>119</v>
      </c>
      <c r="L82" s="37">
        <v>5924.41116071429</v>
      </c>
      <c r="M82" s="37">
        <v>118</v>
      </c>
      <c r="N82" s="37">
        <v>18</v>
      </c>
      <c r="O82" s="15">
        <f t="shared" si="5"/>
        <v>9772.953415153705</v>
      </c>
      <c r="P82" s="15">
        <f t="shared" si="3"/>
        <v>1153208.502988137</v>
      </c>
      <c r="Q82" s="15">
        <f t="shared" si="4"/>
        <v>699080.5169642862</v>
      </c>
    </row>
    <row r="83" spans="10:17" ht="12.75">
      <c r="J83" s="46">
        <v>1542</v>
      </c>
      <c r="K83" s="47" t="s">
        <v>119</v>
      </c>
      <c r="L83" s="37">
        <v>5924.41116071429</v>
      </c>
      <c r="M83" s="37">
        <v>131</v>
      </c>
      <c r="N83" s="37">
        <v>12</v>
      </c>
      <c r="O83" s="15">
        <f t="shared" si="5"/>
        <v>9772.953415153705</v>
      </c>
      <c r="P83" s="15">
        <f t="shared" si="3"/>
        <v>1280256.8973851353</v>
      </c>
      <c r="Q83" s="15">
        <f t="shared" si="4"/>
        <v>776097.8620535721</v>
      </c>
    </row>
    <row r="84" spans="10:17" ht="12.75">
      <c r="J84" s="46">
        <v>1561</v>
      </c>
      <c r="K84" s="47" t="s">
        <v>119</v>
      </c>
      <c r="L84" s="37">
        <v>6004.59184560781</v>
      </c>
      <c r="M84" s="37">
        <v>111</v>
      </c>
      <c r="N84" s="37">
        <v>17</v>
      </c>
      <c r="O84" s="15">
        <f t="shared" si="5"/>
        <v>9772.953415153705</v>
      </c>
      <c r="P84" s="15">
        <f t="shared" si="3"/>
        <v>1084797.8290820613</v>
      </c>
      <c r="Q84" s="15">
        <f t="shared" si="4"/>
        <v>666509.6948624669</v>
      </c>
    </row>
    <row r="85" spans="10:17" ht="12.75">
      <c r="J85" s="46">
        <v>1564</v>
      </c>
      <c r="K85" s="47" t="s">
        <v>119</v>
      </c>
      <c r="L85" s="37">
        <v>7880.85955223881</v>
      </c>
      <c r="M85" s="37">
        <v>113</v>
      </c>
      <c r="N85" s="37">
        <v>10</v>
      </c>
      <c r="O85" s="15">
        <f t="shared" si="5"/>
        <v>9772.953415153705</v>
      </c>
      <c r="P85" s="15">
        <f t="shared" si="3"/>
        <v>1104343.7359123686</v>
      </c>
      <c r="Q85" s="15">
        <f t="shared" si="4"/>
        <v>890537.1294029854</v>
      </c>
    </row>
    <row r="86" spans="10:17" ht="12.75">
      <c r="J86" s="46">
        <v>1665</v>
      </c>
      <c r="K86" s="47" t="s">
        <v>119</v>
      </c>
      <c r="L86" s="37">
        <v>7760.74691860465</v>
      </c>
      <c r="M86" s="37">
        <v>122</v>
      </c>
      <c r="N86" s="37">
        <v>10</v>
      </c>
      <c r="O86" s="15">
        <f t="shared" si="5"/>
        <v>9772.953415153705</v>
      </c>
      <c r="P86" s="15">
        <f t="shared" si="3"/>
        <v>1192300.316648752</v>
      </c>
      <c r="Q86" s="15">
        <f t="shared" si="4"/>
        <v>946811.1240697673</v>
      </c>
    </row>
    <row r="87" spans="10:17" ht="12.75">
      <c r="J87" s="46">
        <v>1803</v>
      </c>
      <c r="K87" s="47" t="s">
        <v>119</v>
      </c>
      <c r="L87" s="37">
        <v>5765.44957683742</v>
      </c>
      <c r="M87" s="37">
        <v>102</v>
      </c>
      <c r="N87" s="37">
        <v>9</v>
      </c>
      <c r="O87" s="15">
        <f t="shared" si="5"/>
        <v>9772.953415153705</v>
      </c>
      <c r="P87" s="15">
        <f t="shared" si="3"/>
        <v>996841.2483456779</v>
      </c>
      <c r="Q87" s="15">
        <f t="shared" si="4"/>
        <v>588075.8568374169</v>
      </c>
    </row>
    <row r="88" spans="13:16" ht="12.75">
      <c r="M88" s="15">
        <f>SUM(M2:M87)</f>
        <v>7816</v>
      </c>
      <c r="N88" s="15">
        <f>SUM(N2:N87)</f>
        <v>779</v>
      </c>
      <c r="P88" s="15">
        <f>SUM(P2:P87)</f>
        <v>76385403.89284135</v>
      </c>
    </row>
    <row r="89" spans="11:16" ht="12.75">
      <c r="K89" s="105" t="s">
        <v>140</v>
      </c>
      <c r="L89" s="106"/>
      <c r="M89" s="107"/>
      <c r="N89" s="15">
        <v>1656.4083362681247</v>
      </c>
      <c r="P89" s="15">
        <f>P88+N92</f>
        <v>85828404.17004144</v>
      </c>
    </row>
    <row r="90" spans="11:14" ht="12.75">
      <c r="K90" s="105" t="s">
        <v>141</v>
      </c>
      <c r="L90" s="106"/>
      <c r="M90" s="107"/>
      <c r="N90" s="15">
        <v>10465.543239084998</v>
      </c>
    </row>
    <row r="91" spans="11:14" ht="12.75">
      <c r="K91" s="105" t="s">
        <v>142</v>
      </c>
      <c r="L91" s="106"/>
      <c r="M91" s="107"/>
      <c r="N91" s="15">
        <f>SUM(N89:N90)</f>
        <v>12121.951575353123</v>
      </c>
    </row>
    <row r="92" spans="11:14" ht="12.75">
      <c r="K92" s="105" t="s">
        <v>143</v>
      </c>
      <c r="L92" s="106"/>
      <c r="M92" s="107"/>
      <c r="N92" s="37">
        <f>N88*N91</f>
        <v>9443000.277200082</v>
      </c>
    </row>
  </sheetData>
  <mergeCells count="4">
    <mergeCell ref="K89:M89"/>
    <mergeCell ref="K90:M90"/>
    <mergeCell ref="K91:M91"/>
    <mergeCell ref="K92:M92"/>
  </mergeCells>
  <printOptions gridLines="1"/>
  <pageMargins left="0.75" right="0.75" top="1" bottom="1" header="0.5" footer="0.5"/>
  <pageSetup fitToHeight="1" fitToWidth="1"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selection activeCell="I42" sqref="I42"/>
    </sheetView>
  </sheetViews>
  <sheetFormatPr defaultColWidth="9.140625" defaultRowHeight="12.75"/>
  <cols>
    <col min="1" max="1" width="20.28125" style="0" customWidth="1"/>
    <col min="3" max="3" width="10.28125" style="15" bestFit="1" customWidth="1"/>
    <col min="4" max="4" width="11.28125" style="15" bestFit="1" customWidth="1"/>
    <col min="9" max="9" width="10.7109375" style="0" customWidth="1"/>
    <col min="12" max="12" width="10.28125" style="15" bestFit="1" customWidth="1"/>
    <col min="13" max="13" width="9.140625" style="15" customWidth="1"/>
    <col min="14" max="14" width="12.8515625" style="15" bestFit="1" customWidth="1"/>
    <col min="15" max="15" width="9.28125" style="15" bestFit="1" customWidth="1"/>
    <col min="16" max="16" width="14.00390625" style="15" bestFit="1" customWidth="1"/>
    <col min="17" max="17" width="11.28125" style="15" bestFit="1" customWidth="1"/>
  </cols>
  <sheetData>
    <row r="1" spans="1:18" ht="53.25">
      <c r="A1" s="1" t="s">
        <v>2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43</v>
      </c>
      <c r="J2" s="48">
        <v>191</v>
      </c>
      <c r="K2" s="49" t="s">
        <v>120</v>
      </c>
      <c r="L2" s="37">
        <v>6891.01074418605</v>
      </c>
      <c r="M2" s="37">
        <v>58</v>
      </c>
      <c r="N2" s="37">
        <v>7</v>
      </c>
      <c r="O2" s="15">
        <f>+$D$54</f>
        <v>9949.354294482548</v>
      </c>
      <c r="P2" s="15">
        <f aca="true" t="shared" si="0" ref="P2:P36">M2*O2</f>
        <v>577062.5490799878</v>
      </c>
      <c r="Q2" s="15">
        <f aca="true" t="shared" si="1" ref="Q2:Q36">L2*M2</f>
        <v>399678.6231627909</v>
      </c>
    </row>
    <row r="3" spans="1:17" ht="12.75">
      <c r="A3" t="s">
        <v>41</v>
      </c>
      <c r="B3">
        <f>COUNT(M2:M36)</f>
        <v>35</v>
      </c>
      <c r="G3" t="s">
        <v>9</v>
      </c>
      <c r="J3" s="48">
        <v>332</v>
      </c>
      <c r="K3" s="49" t="s">
        <v>120</v>
      </c>
      <c r="L3" s="37">
        <v>9997.17791767554</v>
      </c>
      <c r="M3" s="37">
        <v>69</v>
      </c>
      <c r="N3" s="37">
        <v>4</v>
      </c>
      <c r="O3" s="15">
        <f aca="true" t="shared" si="2" ref="O3:O36">+$D$54</f>
        <v>9949.354294482548</v>
      </c>
      <c r="P3" s="15">
        <f t="shared" si="0"/>
        <v>686505.4463192958</v>
      </c>
      <c r="Q3" s="15">
        <f t="shared" si="1"/>
        <v>689805.2763196123</v>
      </c>
    </row>
    <row r="4" spans="10:17" ht="12.75">
      <c r="J4" s="48">
        <v>1175</v>
      </c>
      <c r="K4" s="49" t="s">
        <v>120</v>
      </c>
      <c r="L4" s="37">
        <v>8383.92245700246</v>
      </c>
      <c r="M4" s="37">
        <v>99</v>
      </c>
      <c r="N4" s="37">
        <v>16</v>
      </c>
      <c r="O4" s="15">
        <f t="shared" si="2"/>
        <v>9949.354294482548</v>
      </c>
      <c r="P4" s="15">
        <f t="shared" si="0"/>
        <v>984986.0751537723</v>
      </c>
      <c r="Q4" s="15">
        <f t="shared" si="1"/>
        <v>830008.3232432435</v>
      </c>
    </row>
    <row r="5" spans="1:17" ht="12.75">
      <c r="A5" t="s">
        <v>5</v>
      </c>
      <c r="B5">
        <v>70</v>
      </c>
      <c r="G5">
        <v>116</v>
      </c>
      <c r="J5" s="48">
        <v>1535</v>
      </c>
      <c r="K5" s="49" t="s">
        <v>120</v>
      </c>
      <c r="L5" s="37">
        <v>6302.68613559322</v>
      </c>
      <c r="M5" s="37">
        <v>78</v>
      </c>
      <c r="N5" s="37">
        <v>16</v>
      </c>
      <c r="O5" s="15">
        <f t="shared" si="2"/>
        <v>9949.354294482548</v>
      </c>
      <c r="P5" s="15">
        <f t="shared" si="0"/>
        <v>776049.6349696387</v>
      </c>
      <c r="Q5" s="15">
        <f t="shared" si="1"/>
        <v>491609.51857627113</v>
      </c>
    </row>
    <row r="6" spans="1:17" ht="12.75">
      <c r="A6" t="s">
        <v>6</v>
      </c>
      <c r="B6" s="3">
        <f>B5*E6</f>
        <v>30.099999999999998</v>
      </c>
      <c r="E6" s="4">
        <v>0.43</v>
      </c>
      <c r="G6">
        <v>46</v>
      </c>
      <c r="H6">
        <f>G6/G5</f>
        <v>0.39655172413793105</v>
      </c>
      <c r="J6" s="48">
        <v>1538</v>
      </c>
      <c r="K6" s="49" t="s">
        <v>121</v>
      </c>
      <c r="L6" s="37">
        <v>5837.93703862661</v>
      </c>
      <c r="M6" s="37">
        <v>79</v>
      </c>
      <c r="N6" s="37">
        <v>15</v>
      </c>
      <c r="O6" s="15">
        <f t="shared" si="2"/>
        <v>9949.354294482548</v>
      </c>
      <c r="P6" s="15">
        <f t="shared" si="0"/>
        <v>785998.9892641213</v>
      </c>
      <c r="Q6" s="15">
        <f t="shared" si="1"/>
        <v>461197.0260515022</v>
      </c>
    </row>
    <row r="7" spans="1:17" ht="12.75">
      <c r="A7" t="s">
        <v>7</v>
      </c>
      <c r="B7" s="3">
        <f>B5*E7</f>
        <v>12.53</v>
      </c>
      <c r="E7" s="4">
        <v>0.179</v>
      </c>
      <c r="G7">
        <v>26</v>
      </c>
      <c r="H7">
        <f>G7/G5</f>
        <v>0.22413793103448276</v>
      </c>
      <c r="J7" s="48">
        <v>1540</v>
      </c>
      <c r="K7" s="49" t="s">
        <v>120</v>
      </c>
      <c r="L7" s="37">
        <v>5765.44957683742</v>
      </c>
      <c r="M7" s="37">
        <v>92</v>
      </c>
      <c r="N7" s="37">
        <v>6</v>
      </c>
      <c r="O7" s="15">
        <f t="shared" si="2"/>
        <v>9949.354294482548</v>
      </c>
      <c r="P7" s="15">
        <f t="shared" si="0"/>
        <v>915340.5950923944</v>
      </c>
      <c r="Q7" s="15">
        <f t="shared" si="1"/>
        <v>530421.3610690426</v>
      </c>
    </row>
    <row r="8" spans="1:17" ht="12.75">
      <c r="A8" t="s">
        <v>8</v>
      </c>
      <c r="B8" s="3">
        <f>B5*E8</f>
        <v>8.75</v>
      </c>
      <c r="E8" s="4">
        <v>0.125</v>
      </c>
      <c r="G8">
        <v>15</v>
      </c>
      <c r="H8">
        <f>G8/G5</f>
        <v>0.12931034482758622</v>
      </c>
      <c r="J8" s="48">
        <v>1570</v>
      </c>
      <c r="K8" s="49" t="s">
        <v>120</v>
      </c>
      <c r="L8" s="37">
        <v>5311.47910447761</v>
      </c>
      <c r="M8" s="37">
        <v>88</v>
      </c>
      <c r="N8" s="37">
        <v>11</v>
      </c>
      <c r="O8" s="15">
        <f t="shared" si="2"/>
        <v>9949.354294482548</v>
      </c>
      <c r="P8" s="15">
        <f t="shared" si="0"/>
        <v>875543.1779144641</v>
      </c>
      <c r="Q8" s="15">
        <f t="shared" si="1"/>
        <v>467410.16119402973</v>
      </c>
    </row>
    <row r="9" spans="5:17" ht="12.75">
      <c r="E9" s="4"/>
      <c r="J9" s="48">
        <v>1602</v>
      </c>
      <c r="K9" s="49" t="s">
        <v>120</v>
      </c>
      <c r="L9" s="37">
        <v>5455.45373015873</v>
      </c>
      <c r="M9" s="37">
        <v>62</v>
      </c>
      <c r="N9" s="37">
        <v>14</v>
      </c>
      <c r="O9" s="15">
        <f t="shared" si="2"/>
        <v>9949.354294482548</v>
      </c>
      <c r="P9" s="15">
        <f t="shared" si="0"/>
        <v>616859.9662579179</v>
      </c>
      <c r="Q9" s="15">
        <f t="shared" si="1"/>
        <v>338238.1312698412</v>
      </c>
    </row>
    <row r="10" spans="1:17" ht="12.75">
      <c r="A10" t="s">
        <v>18</v>
      </c>
      <c r="B10">
        <v>6</v>
      </c>
      <c r="C10" s="15">
        <v>42914.98927153859</v>
      </c>
      <c r="D10" s="15">
        <f>B10*C10</f>
        <v>257489.9356292315</v>
      </c>
      <c r="E10" s="3">
        <f>B$5/B10</f>
        <v>11.666666666666666</v>
      </c>
      <c r="J10" s="48">
        <v>1608</v>
      </c>
      <c r="K10" s="49" t="s">
        <v>120</v>
      </c>
      <c r="L10" s="37">
        <v>6846.68269303202</v>
      </c>
      <c r="M10" s="37">
        <v>95</v>
      </c>
      <c r="N10" s="37">
        <v>13</v>
      </c>
      <c r="O10" s="15">
        <f t="shared" si="2"/>
        <v>9949.354294482548</v>
      </c>
      <c r="P10" s="15">
        <f t="shared" si="0"/>
        <v>945188.657975842</v>
      </c>
      <c r="Q10" s="15">
        <f t="shared" si="1"/>
        <v>650434.855838042</v>
      </c>
    </row>
    <row r="11" spans="1:17" ht="12.75">
      <c r="A11" t="s">
        <v>15</v>
      </c>
      <c r="E11" s="3"/>
      <c r="G11">
        <v>4</v>
      </c>
      <c r="H11">
        <f>G5/G11</f>
        <v>29</v>
      </c>
      <c r="J11" s="48">
        <v>1627</v>
      </c>
      <c r="K11" s="49" t="s">
        <v>120</v>
      </c>
      <c r="L11" s="37">
        <v>5499.22460264901</v>
      </c>
      <c r="M11" s="37">
        <v>66</v>
      </c>
      <c r="N11" s="37">
        <v>8</v>
      </c>
      <c r="O11" s="15">
        <f t="shared" si="2"/>
        <v>9949.354294482548</v>
      </c>
      <c r="P11" s="15">
        <f t="shared" si="0"/>
        <v>656657.3834358482</v>
      </c>
      <c r="Q11" s="15">
        <f t="shared" si="1"/>
        <v>362948.8237748347</v>
      </c>
    </row>
    <row r="12" spans="1:17" ht="12.75">
      <c r="A12" t="s">
        <v>16</v>
      </c>
      <c r="E12" s="3"/>
      <c r="G12">
        <v>1</v>
      </c>
      <c r="H12">
        <f>G5/G12</f>
        <v>116</v>
      </c>
      <c r="J12" s="48">
        <v>1635</v>
      </c>
      <c r="K12" s="49" t="s">
        <v>120</v>
      </c>
      <c r="L12" s="37">
        <v>5774.61742424242</v>
      </c>
      <c r="M12" s="37">
        <v>56</v>
      </c>
      <c r="N12" s="37">
        <v>6</v>
      </c>
      <c r="O12" s="15">
        <f t="shared" si="2"/>
        <v>9949.354294482548</v>
      </c>
      <c r="P12" s="15">
        <f t="shared" si="0"/>
        <v>557163.8404910227</v>
      </c>
      <c r="Q12" s="15">
        <f t="shared" si="1"/>
        <v>323378.57575757557</v>
      </c>
    </row>
    <row r="13" spans="5:17" ht="12.75">
      <c r="E13" s="3"/>
      <c r="G13">
        <f>SUM(G11:G12)</f>
        <v>5</v>
      </c>
      <c r="H13">
        <f>G5/G13</f>
        <v>23.2</v>
      </c>
      <c r="J13" s="48">
        <v>1637</v>
      </c>
      <c r="K13" s="49" t="s">
        <v>120</v>
      </c>
      <c r="L13" s="37">
        <v>5924.41116071429</v>
      </c>
      <c r="M13" s="37">
        <v>91</v>
      </c>
      <c r="N13" s="37">
        <v>12</v>
      </c>
      <c r="O13" s="15">
        <f t="shared" si="2"/>
        <v>9949.354294482548</v>
      </c>
      <c r="P13" s="15">
        <f t="shared" si="0"/>
        <v>905391.2407979119</v>
      </c>
      <c r="Q13" s="15">
        <f t="shared" si="1"/>
        <v>539121.4156250004</v>
      </c>
    </row>
    <row r="14" spans="5:17" ht="12.75">
      <c r="E14" s="3"/>
      <c r="H14" s="5"/>
      <c r="J14" s="48">
        <v>1644</v>
      </c>
      <c r="K14" s="49" t="s">
        <v>120</v>
      </c>
      <c r="L14" s="37">
        <v>5815.47310096154</v>
      </c>
      <c r="M14" s="37">
        <v>94</v>
      </c>
      <c r="N14" s="37">
        <v>19</v>
      </c>
      <c r="O14" s="15">
        <f t="shared" si="2"/>
        <v>9949.354294482548</v>
      </c>
      <c r="P14" s="15">
        <f t="shared" si="0"/>
        <v>935239.3036813595</v>
      </c>
      <c r="Q14" s="15">
        <f t="shared" si="1"/>
        <v>546654.4714903848</v>
      </c>
    </row>
    <row r="15" spans="1:17" ht="12.75">
      <c r="A15" t="s">
        <v>17</v>
      </c>
      <c r="B15">
        <v>2</v>
      </c>
      <c r="C15" s="15">
        <v>20738.494724169057</v>
      </c>
      <c r="D15" s="15">
        <f>B15*C15</f>
        <v>41476.989448338114</v>
      </c>
      <c r="E15" s="3">
        <f>B$5/B15</f>
        <v>35</v>
      </c>
      <c r="G15">
        <v>1</v>
      </c>
      <c r="H15">
        <f>G5/G15</f>
        <v>116</v>
      </c>
      <c r="J15" s="48">
        <v>1661</v>
      </c>
      <c r="K15" s="49" t="s">
        <v>121</v>
      </c>
      <c r="L15" s="37">
        <v>6129.35653386454</v>
      </c>
      <c r="M15" s="37">
        <v>88</v>
      </c>
      <c r="N15" s="37">
        <v>7</v>
      </c>
      <c r="O15" s="15">
        <f t="shared" si="2"/>
        <v>9949.354294482548</v>
      </c>
      <c r="P15" s="15">
        <f t="shared" si="0"/>
        <v>875543.1779144641</v>
      </c>
      <c r="Q15" s="15">
        <f t="shared" si="1"/>
        <v>539383.3749800796</v>
      </c>
    </row>
    <row r="16" spans="5:17" ht="12.75">
      <c r="E16" s="3"/>
      <c r="H16" s="5"/>
      <c r="J16" s="48">
        <v>1663</v>
      </c>
      <c r="K16" s="49" t="s">
        <v>120</v>
      </c>
      <c r="L16" s="37">
        <v>7185.85875420876</v>
      </c>
      <c r="M16" s="37">
        <v>91</v>
      </c>
      <c r="N16" s="37">
        <v>14</v>
      </c>
      <c r="O16" s="15">
        <f t="shared" si="2"/>
        <v>9949.354294482548</v>
      </c>
      <c r="P16" s="15">
        <f t="shared" si="0"/>
        <v>905391.2407979119</v>
      </c>
      <c r="Q16" s="15">
        <f t="shared" si="1"/>
        <v>653913.1466329971</v>
      </c>
    </row>
    <row r="17" spans="1:17" ht="12.75">
      <c r="A17" t="s">
        <v>19</v>
      </c>
      <c r="B17">
        <v>1</v>
      </c>
      <c r="C17" s="15">
        <v>42914.98927153859</v>
      </c>
      <c r="D17" s="15">
        <f>B17*C17</f>
        <v>42914.98927153859</v>
      </c>
      <c r="E17" s="3">
        <f>B$8/B17</f>
        <v>8.75</v>
      </c>
      <c r="H17" s="5"/>
      <c r="J17" s="48">
        <v>1677</v>
      </c>
      <c r="K17" s="49" t="s">
        <v>120</v>
      </c>
      <c r="L17" s="37">
        <v>7495.62532994924</v>
      </c>
      <c r="M17" s="37">
        <v>51</v>
      </c>
      <c r="N17" s="37">
        <v>8</v>
      </c>
      <c r="O17" s="15">
        <f t="shared" si="2"/>
        <v>9949.354294482548</v>
      </c>
      <c r="P17" s="15">
        <f t="shared" si="0"/>
        <v>507417.06901860994</v>
      </c>
      <c r="Q17" s="15">
        <f t="shared" si="1"/>
        <v>382276.89182741125</v>
      </c>
    </row>
    <row r="18" spans="1:17" ht="12.75">
      <c r="A18" t="s">
        <v>16</v>
      </c>
      <c r="E18" s="3"/>
      <c r="G18">
        <v>1</v>
      </c>
      <c r="H18" s="5">
        <v>15</v>
      </c>
      <c r="J18" s="48">
        <v>1678</v>
      </c>
      <c r="K18" s="49" t="s">
        <v>120</v>
      </c>
      <c r="L18" s="37">
        <v>7217.47648514852</v>
      </c>
      <c r="M18" s="37">
        <v>56</v>
      </c>
      <c r="N18" s="37">
        <v>10</v>
      </c>
      <c r="O18" s="15">
        <f t="shared" si="2"/>
        <v>9949.354294482548</v>
      </c>
      <c r="P18" s="15">
        <f t="shared" si="0"/>
        <v>557163.8404910227</v>
      </c>
      <c r="Q18" s="15">
        <f t="shared" si="1"/>
        <v>404178.6831683171</v>
      </c>
    </row>
    <row r="19" spans="1:17" ht="12.75">
      <c r="A19" t="s">
        <v>17</v>
      </c>
      <c r="B19">
        <v>1</v>
      </c>
      <c r="C19" s="15">
        <v>20738.494724169057</v>
      </c>
      <c r="D19" s="15">
        <f>B19*C19</f>
        <v>20738.494724169057</v>
      </c>
      <c r="E19" s="3">
        <f>B$8/B19</f>
        <v>8.75</v>
      </c>
      <c r="G19">
        <v>2</v>
      </c>
      <c r="H19" s="5">
        <v>7.5</v>
      </c>
      <c r="J19" s="48">
        <v>1699</v>
      </c>
      <c r="K19" s="49" t="s">
        <v>120</v>
      </c>
      <c r="L19" s="37">
        <v>6092.21478658536</v>
      </c>
      <c r="M19" s="37">
        <v>91</v>
      </c>
      <c r="N19" s="37">
        <v>2</v>
      </c>
      <c r="O19" s="15">
        <f t="shared" si="2"/>
        <v>9949.354294482548</v>
      </c>
      <c r="P19" s="15">
        <f t="shared" si="0"/>
        <v>905391.2407979119</v>
      </c>
      <c r="Q19" s="15">
        <f t="shared" si="1"/>
        <v>554391.5455792678</v>
      </c>
    </row>
    <row r="20" spans="5:17" ht="12.75">
      <c r="E20" s="3"/>
      <c r="H20" s="5"/>
      <c r="J20" s="48">
        <v>1703</v>
      </c>
      <c r="K20" s="49" t="s">
        <v>120</v>
      </c>
      <c r="L20" s="37">
        <v>6289.74132978723</v>
      </c>
      <c r="M20" s="37">
        <v>53</v>
      </c>
      <c r="N20" s="37">
        <v>3</v>
      </c>
      <c r="O20" s="15">
        <f t="shared" si="2"/>
        <v>9949.354294482548</v>
      </c>
      <c r="P20" s="15">
        <f t="shared" si="0"/>
        <v>527315.7776075751</v>
      </c>
      <c r="Q20" s="15">
        <f t="shared" si="1"/>
        <v>333356.2904787232</v>
      </c>
    </row>
    <row r="21" spans="5:17" ht="12.75">
      <c r="E21" s="3"/>
      <c r="H21" s="5"/>
      <c r="J21" s="48">
        <v>1713</v>
      </c>
      <c r="K21" s="49" t="s">
        <v>120</v>
      </c>
      <c r="L21" s="37">
        <v>6689.07639455782</v>
      </c>
      <c r="M21" s="37">
        <v>73</v>
      </c>
      <c r="N21" s="37">
        <v>5</v>
      </c>
      <c r="O21" s="15">
        <f t="shared" si="2"/>
        <v>9949.354294482548</v>
      </c>
      <c r="P21" s="15">
        <f t="shared" si="0"/>
        <v>726302.863497226</v>
      </c>
      <c r="Q21" s="15">
        <f t="shared" si="1"/>
        <v>488302.57680272084</v>
      </c>
    </row>
    <row r="22" spans="1:17" ht="12.75">
      <c r="A22" t="s">
        <v>20</v>
      </c>
      <c r="E22" s="3"/>
      <c r="H22" s="5"/>
      <c r="J22" s="48">
        <v>1714</v>
      </c>
      <c r="K22" s="49" t="s">
        <v>120</v>
      </c>
      <c r="L22" s="37">
        <v>8454.34387254902</v>
      </c>
      <c r="M22" s="37">
        <v>55</v>
      </c>
      <c r="N22" s="37">
        <v>8</v>
      </c>
      <c r="O22" s="15">
        <f t="shared" si="2"/>
        <v>9949.354294482548</v>
      </c>
      <c r="P22" s="15">
        <f t="shared" si="0"/>
        <v>547214.4861965401</v>
      </c>
      <c r="Q22" s="15">
        <f t="shared" si="1"/>
        <v>464988.9129901961</v>
      </c>
    </row>
    <row r="23" spans="1:17" ht="12.75">
      <c r="A23" t="s">
        <v>11</v>
      </c>
      <c r="B23">
        <v>0.5</v>
      </c>
      <c r="C23" s="15">
        <v>46319.211226175925</v>
      </c>
      <c r="D23" s="15">
        <f>B23*C23</f>
        <v>23159.605613087962</v>
      </c>
      <c r="E23" s="3">
        <f>B$5/B23</f>
        <v>140</v>
      </c>
      <c r="G23">
        <v>0.5</v>
      </c>
      <c r="H23" s="5">
        <v>232</v>
      </c>
      <c r="J23" s="48">
        <v>1731</v>
      </c>
      <c r="K23" s="49" t="s">
        <v>120</v>
      </c>
      <c r="L23" s="37">
        <v>11250.5379015544</v>
      </c>
      <c r="M23" s="37">
        <v>66</v>
      </c>
      <c r="N23" s="37">
        <v>10</v>
      </c>
      <c r="O23" s="15">
        <f t="shared" si="2"/>
        <v>9949.354294482548</v>
      </c>
      <c r="P23" s="15">
        <f t="shared" si="0"/>
        <v>656657.3834358482</v>
      </c>
      <c r="Q23" s="15">
        <f t="shared" si="1"/>
        <v>742535.5015025904</v>
      </c>
    </row>
    <row r="24" spans="1:17" ht="12.75">
      <c r="A24" t="s">
        <v>58</v>
      </c>
      <c r="B24">
        <v>0.25</v>
      </c>
      <c r="C24" s="15">
        <v>37487.41846994718</v>
      </c>
      <c r="D24" s="15">
        <f>B24*C24</f>
        <v>9371.854617486795</v>
      </c>
      <c r="E24" s="3">
        <f>B$5/B24</f>
        <v>280</v>
      </c>
      <c r="G24">
        <v>0.25</v>
      </c>
      <c r="H24" s="5">
        <v>464</v>
      </c>
      <c r="J24" s="48">
        <v>1734</v>
      </c>
      <c r="K24" s="49" t="s">
        <v>120</v>
      </c>
      <c r="L24" s="37">
        <v>6467.80449438203</v>
      </c>
      <c r="M24" s="37">
        <v>79</v>
      </c>
      <c r="N24" s="37">
        <v>12</v>
      </c>
      <c r="O24" s="15">
        <f t="shared" si="2"/>
        <v>9949.354294482548</v>
      </c>
      <c r="P24" s="15">
        <f t="shared" si="0"/>
        <v>785998.9892641213</v>
      </c>
      <c r="Q24" s="15">
        <f t="shared" si="1"/>
        <v>510956.55505618034</v>
      </c>
    </row>
    <row r="25" spans="5:17" ht="12.75">
      <c r="E25" s="3"/>
      <c r="H25" s="5"/>
      <c r="J25" s="48">
        <v>1743</v>
      </c>
      <c r="K25" s="49" t="s">
        <v>120</v>
      </c>
      <c r="L25" s="37">
        <v>6960.8597260274</v>
      </c>
      <c r="M25" s="37">
        <v>50</v>
      </c>
      <c r="N25" s="37">
        <v>6</v>
      </c>
      <c r="O25" s="15">
        <f t="shared" si="2"/>
        <v>9949.354294482548</v>
      </c>
      <c r="P25" s="15">
        <f t="shared" si="0"/>
        <v>497467.7147241274</v>
      </c>
      <c r="Q25" s="15">
        <f t="shared" si="1"/>
        <v>348042.98630137</v>
      </c>
    </row>
    <row r="26" spans="1:17" ht="12.75">
      <c r="A26" t="s">
        <v>19</v>
      </c>
      <c r="E26" s="3"/>
      <c r="H26" s="5"/>
      <c r="J26" s="48">
        <v>1751</v>
      </c>
      <c r="K26" s="49" t="s">
        <v>120</v>
      </c>
      <c r="L26" s="37">
        <v>5259.62584070796</v>
      </c>
      <c r="M26" s="37">
        <v>58</v>
      </c>
      <c r="N26" s="37">
        <v>6</v>
      </c>
      <c r="O26" s="15">
        <f t="shared" si="2"/>
        <v>9949.354294482548</v>
      </c>
      <c r="P26" s="15">
        <f t="shared" si="0"/>
        <v>577062.5490799878</v>
      </c>
      <c r="Q26" s="15">
        <f t="shared" si="1"/>
        <v>305058.2987610617</v>
      </c>
    </row>
    <row r="27" spans="1:17" ht="12.75">
      <c r="A27" s="6" t="s">
        <v>22</v>
      </c>
      <c r="B27">
        <v>0.1</v>
      </c>
      <c r="C27" s="15">
        <v>46396.4268055664</v>
      </c>
      <c r="D27" s="15">
        <f>B27*C27</f>
        <v>4639.64268055664</v>
      </c>
      <c r="E27" s="3">
        <f>B$8/B27</f>
        <v>87.5</v>
      </c>
      <c r="G27">
        <v>0.2</v>
      </c>
      <c r="H27" s="5">
        <v>75</v>
      </c>
      <c r="J27" s="48">
        <v>1753</v>
      </c>
      <c r="K27" s="49" t="s">
        <v>121</v>
      </c>
      <c r="L27" s="37">
        <v>6940.10265486725</v>
      </c>
      <c r="M27" s="37">
        <v>69</v>
      </c>
      <c r="N27" s="37">
        <v>14</v>
      </c>
      <c r="O27" s="15">
        <f t="shared" si="2"/>
        <v>9949.354294482548</v>
      </c>
      <c r="P27" s="15">
        <f t="shared" si="0"/>
        <v>686505.4463192958</v>
      </c>
      <c r="Q27" s="15">
        <f t="shared" si="1"/>
        <v>478867.0831858402</v>
      </c>
    </row>
    <row r="28" spans="1:17" ht="12.75">
      <c r="A28" t="s">
        <v>23</v>
      </c>
      <c r="B28">
        <v>0.1</v>
      </c>
      <c r="C28" s="15">
        <v>48090.39947775422</v>
      </c>
      <c r="D28" s="15">
        <f>B28*C28</f>
        <v>4809.039947775422</v>
      </c>
      <c r="E28" s="3">
        <f>B$8/B28</f>
        <v>87.5</v>
      </c>
      <c r="G28">
        <v>0.2</v>
      </c>
      <c r="H28" s="5">
        <v>75</v>
      </c>
      <c r="J28" s="48">
        <v>1768</v>
      </c>
      <c r="K28" s="49" t="s">
        <v>120</v>
      </c>
      <c r="L28" s="37">
        <v>8193.851475</v>
      </c>
      <c r="M28" s="37">
        <v>66</v>
      </c>
      <c r="N28" s="37">
        <v>11</v>
      </c>
      <c r="O28" s="15">
        <f t="shared" si="2"/>
        <v>9949.354294482548</v>
      </c>
      <c r="P28" s="15">
        <f t="shared" si="0"/>
        <v>656657.3834358482</v>
      </c>
      <c r="Q28" s="15">
        <f t="shared" si="1"/>
        <v>540794.1973499999</v>
      </c>
    </row>
    <row r="29" spans="5:17" ht="12.75">
      <c r="E29" s="3"/>
      <c r="H29" s="5"/>
      <c r="J29" s="48">
        <v>1771</v>
      </c>
      <c r="K29" s="49" t="s">
        <v>120</v>
      </c>
      <c r="L29" s="37">
        <v>4960.80372807018</v>
      </c>
      <c r="M29" s="37">
        <v>56</v>
      </c>
      <c r="N29" s="37">
        <v>10</v>
      </c>
      <c r="O29" s="15">
        <f t="shared" si="2"/>
        <v>9949.354294482548</v>
      </c>
      <c r="P29" s="15">
        <f t="shared" si="0"/>
        <v>557163.8404910227</v>
      </c>
      <c r="Q29" s="15">
        <f t="shared" si="1"/>
        <v>277805.00877193006</v>
      </c>
    </row>
    <row r="30" spans="5:17" ht="12.75">
      <c r="E30" s="3"/>
      <c r="H30" s="5"/>
      <c r="J30" s="48">
        <v>1775</v>
      </c>
      <c r="K30" s="49" t="s">
        <v>120</v>
      </c>
      <c r="L30" s="37">
        <v>5441.28659751037</v>
      </c>
      <c r="M30" s="37">
        <v>57</v>
      </c>
      <c r="N30" s="37">
        <v>3</v>
      </c>
      <c r="O30" s="15">
        <f t="shared" si="2"/>
        <v>9949.354294482548</v>
      </c>
      <c r="P30" s="15">
        <f t="shared" si="0"/>
        <v>567113.1947855052</v>
      </c>
      <c r="Q30" s="15">
        <f t="shared" si="1"/>
        <v>310153.3360580911</v>
      </c>
    </row>
    <row r="31" spans="5:17" ht="12.75">
      <c r="E31" s="3"/>
      <c r="H31" s="5"/>
      <c r="J31" s="48">
        <v>1776</v>
      </c>
      <c r="K31" s="49" t="s">
        <v>120</v>
      </c>
      <c r="L31" s="37">
        <v>5462.43419263456</v>
      </c>
      <c r="M31" s="37">
        <v>95</v>
      </c>
      <c r="N31" s="37">
        <v>5</v>
      </c>
      <c r="O31" s="15">
        <f t="shared" si="2"/>
        <v>9949.354294482548</v>
      </c>
      <c r="P31" s="15">
        <f t="shared" si="0"/>
        <v>945188.657975842</v>
      </c>
      <c r="Q31" s="15">
        <f t="shared" si="1"/>
        <v>518931.24830028316</v>
      </c>
    </row>
    <row r="32" spans="5:17" ht="12.75">
      <c r="E32" s="3"/>
      <c r="H32" s="5"/>
      <c r="J32" s="48">
        <v>1777</v>
      </c>
      <c r="K32" s="49" t="s">
        <v>120</v>
      </c>
      <c r="L32" s="37">
        <v>5924.16877813505</v>
      </c>
      <c r="M32" s="37">
        <v>65</v>
      </c>
      <c r="N32" s="37">
        <v>7</v>
      </c>
      <c r="O32" s="15">
        <f t="shared" si="2"/>
        <v>9949.354294482548</v>
      </c>
      <c r="P32" s="15">
        <f t="shared" si="0"/>
        <v>646708.0291413656</v>
      </c>
      <c r="Q32" s="15">
        <f t="shared" si="1"/>
        <v>385070.97057877824</v>
      </c>
    </row>
    <row r="33" spans="1:17" ht="12.75">
      <c r="A33" t="s">
        <v>12</v>
      </c>
      <c r="E33" s="3"/>
      <c r="H33" s="5"/>
      <c r="J33" s="48">
        <v>1790</v>
      </c>
      <c r="K33" s="49" t="s">
        <v>120</v>
      </c>
      <c r="L33" s="37">
        <v>6527.16233870968</v>
      </c>
      <c r="M33" s="37">
        <v>56</v>
      </c>
      <c r="N33" s="37">
        <v>9</v>
      </c>
      <c r="O33" s="15">
        <f t="shared" si="2"/>
        <v>9949.354294482548</v>
      </c>
      <c r="P33" s="15">
        <f t="shared" si="0"/>
        <v>557163.8404910227</v>
      </c>
      <c r="Q33" s="15">
        <f t="shared" si="1"/>
        <v>365521.0909677421</v>
      </c>
    </row>
    <row r="34" spans="1:17" ht="12.75">
      <c r="A34" t="s">
        <v>24</v>
      </c>
      <c r="B34">
        <v>0.5</v>
      </c>
      <c r="C34" s="15">
        <v>41163.357056373745</v>
      </c>
      <c r="D34" s="15">
        <f>B34*C34</f>
        <v>20581.678528186872</v>
      </c>
      <c r="E34" s="3">
        <f>B$5/B34</f>
        <v>140</v>
      </c>
      <c r="G34">
        <v>0.5</v>
      </c>
      <c r="H34" s="5">
        <v>232</v>
      </c>
      <c r="J34" s="48">
        <v>1791</v>
      </c>
      <c r="K34" s="49" t="s">
        <v>120</v>
      </c>
      <c r="L34" s="37">
        <v>5305.7027184466</v>
      </c>
      <c r="M34" s="37">
        <v>84</v>
      </c>
      <c r="N34" s="37">
        <v>8</v>
      </c>
      <c r="O34" s="15">
        <f t="shared" si="2"/>
        <v>9949.354294482548</v>
      </c>
      <c r="P34" s="15">
        <f t="shared" si="0"/>
        <v>835745.760736534</v>
      </c>
      <c r="Q34" s="15">
        <f t="shared" si="1"/>
        <v>445679.02834951435</v>
      </c>
    </row>
    <row r="35" spans="1:17" ht="12.75">
      <c r="A35" t="s">
        <v>25</v>
      </c>
      <c r="B35">
        <v>0.25</v>
      </c>
      <c r="C35" s="15">
        <v>38216.04733492906</v>
      </c>
      <c r="D35" s="15">
        <f>B35*C35</f>
        <v>9554.011833732266</v>
      </c>
      <c r="E35" s="3">
        <f>B$5/B35</f>
        <v>280</v>
      </c>
      <c r="G35">
        <v>0.3</v>
      </c>
      <c r="H35" s="5">
        <v>386.6666666666667</v>
      </c>
      <c r="J35" s="48">
        <v>1798</v>
      </c>
      <c r="K35" s="49" t="s">
        <v>120</v>
      </c>
      <c r="L35" s="37">
        <v>7124.84110655737</v>
      </c>
      <c r="M35" s="37">
        <v>57</v>
      </c>
      <c r="N35" s="37">
        <v>8</v>
      </c>
      <c r="O35" s="15">
        <f t="shared" si="2"/>
        <v>9949.354294482548</v>
      </c>
      <c r="P35" s="15">
        <f t="shared" si="0"/>
        <v>567113.1947855052</v>
      </c>
      <c r="Q35" s="15">
        <f t="shared" si="1"/>
        <v>406115.9430737701</v>
      </c>
    </row>
    <row r="36" spans="1:17" ht="12.75">
      <c r="A36" t="s">
        <v>26</v>
      </c>
      <c r="D36" s="15">
        <f>14400*0.7</f>
        <v>10080</v>
      </c>
      <c r="E36" s="3"/>
      <c r="G36" s="7">
        <v>5400</v>
      </c>
      <c r="H36" s="5" t="s">
        <v>10</v>
      </c>
      <c r="J36" s="48">
        <v>1827</v>
      </c>
      <c r="K36" s="49" t="s">
        <v>120</v>
      </c>
      <c r="L36" s="37">
        <v>5525.94638513513</v>
      </c>
      <c r="M36" s="37">
        <v>70</v>
      </c>
      <c r="N36" s="37">
        <v>7</v>
      </c>
      <c r="O36" s="15">
        <f t="shared" si="2"/>
        <v>9949.354294482548</v>
      </c>
      <c r="P36" s="15">
        <f t="shared" si="0"/>
        <v>696454.8006137783</v>
      </c>
      <c r="Q36" s="15">
        <f t="shared" si="1"/>
        <v>386816.2469594591</v>
      </c>
    </row>
    <row r="37" spans="5:16" ht="12.75">
      <c r="E37" s="3"/>
      <c r="H37" s="5"/>
      <c r="M37" s="15">
        <f>SUM(M2:M36)</f>
        <v>2513</v>
      </c>
      <c r="N37" s="15">
        <f>SUM(N2:N36)</f>
        <v>320</v>
      </c>
      <c r="P37" s="15">
        <f>SUM(P2:P36)</f>
        <v>25002727.34203465</v>
      </c>
    </row>
    <row r="38" spans="1:16" ht="12.75">
      <c r="A38" t="s">
        <v>27</v>
      </c>
      <c r="E38" s="3"/>
      <c r="H38" s="5"/>
      <c r="K38" s="105" t="s">
        <v>140</v>
      </c>
      <c r="L38" s="106"/>
      <c r="M38" s="107"/>
      <c r="N38" s="15">
        <v>1656.4083362681247</v>
      </c>
      <c r="P38" s="15">
        <f>P37+N41</f>
        <v>28881751.84614765</v>
      </c>
    </row>
    <row r="39" spans="1:14" ht="12.75">
      <c r="A39" t="s">
        <v>13</v>
      </c>
      <c r="B39">
        <v>0.5</v>
      </c>
      <c r="C39" s="15">
        <v>66157.3544068731</v>
      </c>
      <c r="D39" s="15">
        <f>B39*C39</f>
        <v>33078.67720343655</v>
      </c>
      <c r="E39" s="3">
        <f>B$5/B39</f>
        <v>140</v>
      </c>
      <c r="G39">
        <v>0.5</v>
      </c>
      <c r="H39" s="5">
        <v>232</v>
      </c>
      <c r="K39" s="105" t="s">
        <v>141</v>
      </c>
      <c r="L39" s="106"/>
      <c r="M39" s="107"/>
      <c r="N39" s="15">
        <v>10465.543239084998</v>
      </c>
    </row>
    <row r="40" spans="1:14" ht="12.75">
      <c r="A40" t="s">
        <v>60</v>
      </c>
      <c r="E40" s="3"/>
      <c r="G40">
        <v>0.25</v>
      </c>
      <c r="H40" s="5">
        <v>464</v>
      </c>
      <c r="K40" s="105" t="s">
        <v>142</v>
      </c>
      <c r="L40" s="106"/>
      <c r="M40" s="107"/>
      <c r="N40" s="15">
        <f>SUM(N38:N39)</f>
        <v>12121.951575353123</v>
      </c>
    </row>
    <row r="41" spans="1:14" ht="12.75">
      <c r="A41" t="s">
        <v>14</v>
      </c>
      <c r="B41">
        <v>1</v>
      </c>
      <c r="C41" s="15">
        <v>25044.977520676086</v>
      </c>
      <c r="D41" s="15">
        <f>B41*C41</f>
        <v>25044.977520676086</v>
      </c>
      <c r="E41" s="3">
        <f>B$5/B41</f>
        <v>70</v>
      </c>
      <c r="G41">
        <v>1</v>
      </c>
      <c r="H41" s="5">
        <v>116</v>
      </c>
      <c r="K41" s="105" t="s">
        <v>143</v>
      </c>
      <c r="L41" s="106"/>
      <c r="M41" s="107"/>
      <c r="N41" s="37">
        <f>N37*N40</f>
        <v>3879024.5041129994</v>
      </c>
    </row>
    <row r="42" ht="12.75">
      <c r="E42" s="3"/>
    </row>
    <row r="43" spans="1:8" ht="12.75">
      <c r="A43" t="s">
        <v>28</v>
      </c>
      <c r="E43" s="3"/>
      <c r="H43" t="s">
        <v>35</v>
      </c>
    </row>
    <row r="44" spans="1:8" ht="12.75">
      <c r="A44" t="s">
        <v>29</v>
      </c>
      <c r="B44" s="3">
        <v>350</v>
      </c>
      <c r="D44" s="15">
        <v>350</v>
      </c>
      <c r="E44" s="3">
        <v>350</v>
      </c>
      <c r="H44">
        <v>200</v>
      </c>
    </row>
    <row r="45" spans="1:8" ht="12.75">
      <c r="A45" t="s">
        <v>30</v>
      </c>
      <c r="B45" s="3">
        <v>150</v>
      </c>
      <c r="D45" s="15">
        <v>150</v>
      </c>
      <c r="E45" s="3">
        <v>150</v>
      </c>
      <c r="H45">
        <v>150</v>
      </c>
    </row>
    <row r="46" spans="1:8" ht="12.75">
      <c r="A46" t="s">
        <v>31</v>
      </c>
      <c r="B46" s="3">
        <v>400</v>
      </c>
      <c r="D46" s="15">
        <v>400</v>
      </c>
      <c r="E46" s="3">
        <v>400</v>
      </c>
      <c r="H46">
        <v>275</v>
      </c>
    </row>
    <row r="47" spans="1:8" ht="12.75">
      <c r="A47" t="s">
        <v>32</v>
      </c>
      <c r="B47" s="3">
        <v>50</v>
      </c>
      <c r="D47" s="15">
        <v>50</v>
      </c>
      <c r="E47" s="3">
        <v>50</v>
      </c>
      <c r="H47">
        <v>20</v>
      </c>
    </row>
    <row r="48" spans="1:8" ht="12.75">
      <c r="A48" t="s">
        <v>33</v>
      </c>
      <c r="B48" s="3">
        <v>275</v>
      </c>
      <c r="D48" s="15">
        <v>275</v>
      </c>
      <c r="E48" s="3">
        <v>275</v>
      </c>
      <c r="H48">
        <v>250</v>
      </c>
    </row>
    <row r="49" spans="1:5" ht="12.75">
      <c r="A49" t="s">
        <v>34</v>
      </c>
      <c r="B49" s="3">
        <v>25</v>
      </c>
      <c r="D49" s="15">
        <v>25</v>
      </c>
      <c r="E49" s="3">
        <v>25</v>
      </c>
    </row>
    <row r="51" spans="1:4" ht="12.75">
      <c r="A51" t="s">
        <v>134</v>
      </c>
      <c r="D51" s="15">
        <f>SUM(D10:D41)+SUM(D44:D49)*B5</f>
        <v>590439.8970182159</v>
      </c>
    </row>
    <row r="52" spans="1:4" ht="12.75">
      <c r="A52" t="s">
        <v>137</v>
      </c>
      <c r="D52" s="15">
        <f>D51/70</f>
        <v>8434.855671688798</v>
      </c>
    </row>
    <row r="53" spans="1:4" ht="12.75">
      <c r="A53" t="s">
        <v>138</v>
      </c>
      <c r="D53" s="15">
        <v>1514.4986227937495</v>
      </c>
    </row>
    <row r="54" spans="1:4" ht="12.75">
      <c r="A54" t="s">
        <v>135</v>
      </c>
      <c r="D54" s="15">
        <f>SUM(D52:D53)</f>
        <v>9949.354294482548</v>
      </c>
    </row>
    <row r="55" spans="1:4" ht="12.75">
      <c r="A55" t="s">
        <v>136</v>
      </c>
      <c r="D55" s="15">
        <f>+'Additional Costs'!C16</f>
        <v>1656.4083362681247</v>
      </c>
    </row>
    <row r="56" spans="1:4" ht="12.75">
      <c r="A56" t="s">
        <v>208</v>
      </c>
      <c r="D56" s="15">
        <f>+'Additional Costs'!C25</f>
        <v>10465.543239084998</v>
      </c>
    </row>
    <row r="57" spans="1:4" ht="12.75">
      <c r="A57" t="s">
        <v>209</v>
      </c>
      <c r="D57" s="15">
        <f>+D56+D55</f>
        <v>12121.951575353123</v>
      </c>
    </row>
  </sheetData>
  <mergeCells count="4">
    <mergeCell ref="K38:M38"/>
    <mergeCell ref="K39:M39"/>
    <mergeCell ref="K40:M40"/>
    <mergeCell ref="K41:M41"/>
  </mergeCells>
  <printOptions gridLines="1"/>
  <pageMargins left="0.75" right="0.75" top="1" bottom="1" header="0.5" footer="0.5"/>
  <pageSetup fitToHeight="1" fitToWidth="1" horizontalDpi="300" verticalDpi="3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I42" sqref="I42"/>
    </sheetView>
  </sheetViews>
  <sheetFormatPr defaultColWidth="9.140625" defaultRowHeight="12.75"/>
  <cols>
    <col min="1" max="1" width="20.00390625" style="0" customWidth="1"/>
    <col min="3" max="3" width="10.28125" style="15" bestFit="1" customWidth="1"/>
    <col min="4" max="4" width="11.28125" style="15" bestFit="1" customWidth="1"/>
    <col min="9" max="9" width="10.7109375" style="0" customWidth="1"/>
    <col min="14" max="14" width="12.8515625" style="15" bestFit="1" customWidth="1"/>
    <col min="15" max="15" width="9.28125" style="15" bestFit="1" customWidth="1"/>
    <col min="16" max="16" width="14.00390625" style="15" bestFit="1" customWidth="1"/>
    <col min="17" max="17" width="12.8515625" style="15" bestFit="1" customWidth="1"/>
  </cols>
  <sheetData>
    <row r="1" spans="1:18" ht="53.25">
      <c r="A1" s="1" t="s">
        <v>2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44</v>
      </c>
      <c r="J2" s="50">
        <v>47</v>
      </c>
      <c r="K2" s="51" t="s">
        <v>125</v>
      </c>
      <c r="L2" s="50">
        <v>9218.3152</v>
      </c>
      <c r="M2" s="50">
        <v>116</v>
      </c>
      <c r="N2" s="37">
        <v>20</v>
      </c>
      <c r="O2" s="15">
        <f>+$D$54</f>
        <v>10060.090257058457</v>
      </c>
      <c r="P2" s="15">
        <f aca="true" t="shared" si="0" ref="P2:P54">M2*O2</f>
        <v>1166970.469818781</v>
      </c>
      <c r="Q2" s="15">
        <f aca="true" t="shared" si="1" ref="Q2:Q54">L2*M2</f>
        <v>1069324.5632</v>
      </c>
    </row>
    <row r="3" spans="1:17" ht="12.75">
      <c r="A3" t="s">
        <v>52</v>
      </c>
      <c r="B3">
        <f>COUNT(M2:M54)</f>
        <v>53</v>
      </c>
      <c r="G3" t="s">
        <v>9</v>
      </c>
      <c r="J3" s="50">
        <v>86</v>
      </c>
      <c r="K3" s="51" t="s">
        <v>125</v>
      </c>
      <c r="L3" s="50">
        <v>9079.34410526316</v>
      </c>
      <c r="M3" s="50">
        <v>72</v>
      </c>
      <c r="N3" s="37">
        <v>16</v>
      </c>
      <c r="O3" s="15">
        <f aca="true" t="shared" si="2" ref="O3:O54">+$D$54</f>
        <v>10060.090257058457</v>
      </c>
      <c r="P3" s="15">
        <f t="shared" si="0"/>
        <v>724326.4985082089</v>
      </c>
      <c r="Q3" s="15">
        <f t="shared" si="1"/>
        <v>653712.7755789475</v>
      </c>
    </row>
    <row r="4" spans="10:17" ht="12.75">
      <c r="J4" s="50">
        <v>88</v>
      </c>
      <c r="K4" s="51" t="s">
        <v>125</v>
      </c>
      <c r="L4" s="50">
        <v>9433.23333333333</v>
      </c>
      <c r="M4" s="50">
        <v>129</v>
      </c>
      <c r="N4" s="37">
        <v>16</v>
      </c>
      <c r="O4" s="15">
        <f t="shared" si="2"/>
        <v>10060.090257058457</v>
      </c>
      <c r="P4" s="15">
        <f t="shared" si="0"/>
        <v>1297751.6431605408</v>
      </c>
      <c r="Q4" s="15">
        <f t="shared" si="1"/>
        <v>1216887.0999999996</v>
      </c>
    </row>
    <row r="5" spans="1:17" ht="12.75">
      <c r="A5" t="s">
        <v>5</v>
      </c>
      <c r="B5">
        <v>93</v>
      </c>
      <c r="G5">
        <v>232</v>
      </c>
      <c r="J5" s="50">
        <v>96</v>
      </c>
      <c r="K5" s="51" t="s">
        <v>125</v>
      </c>
      <c r="L5" s="50">
        <v>8046.47157894737</v>
      </c>
      <c r="M5" s="50">
        <v>61</v>
      </c>
      <c r="N5" s="37">
        <v>1</v>
      </c>
      <c r="O5" s="15">
        <f t="shared" si="2"/>
        <v>10060.090257058457</v>
      </c>
      <c r="P5" s="15">
        <f t="shared" si="0"/>
        <v>613665.5056805658</v>
      </c>
      <c r="Q5" s="15">
        <f t="shared" si="1"/>
        <v>490834.7663157896</v>
      </c>
    </row>
    <row r="6" spans="1:17" ht="12.75">
      <c r="A6" t="s">
        <v>6</v>
      </c>
      <c r="B6" s="3">
        <f>B5*E6</f>
        <v>33.945</v>
      </c>
      <c r="E6" s="4">
        <v>0.365</v>
      </c>
      <c r="G6">
        <v>93</v>
      </c>
      <c r="H6" s="4">
        <v>0.40086206896551724</v>
      </c>
      <c r="J6" s="50">
        <v>99</v>
      </c>
      <c r="K6" s="51" t="s">
        <v>125</v>
      </c>
      <c r="L6" s="50">
        <v>13081.8368518519</v>
      </c>
      <c r="M6" s="50">
        <v>53</v>
      </c>
      <c r="N6" s="37">
        <v>5</v>
      </c>
      <c r="O6" s="15">
        <f t="shared" si="2"/>
        <v>10060.090257058457</v>
      </c>
      <c r="P6" s="15">
        <f t="shared" si="0"/>
        <v>533184.7836240982</v>
      </c>
      <c r="Q6" s="15">
        <f t="shared" si="1"/>
        <v>693337.3531481507</v>
      </c>
    </row>
    <row r="7" spans="1:17" ht="12.75">
      <c r="A7" t="s">
        <v>7</v>
      </c>
      <c r="B7" s="3">
        <f>B5*E7</f>
        <v>13.671</v>
      </c>
      <c r="E7" s="4">
        <v>0.147</v>
      </c>
      <c r="G7">
        <v>51</v>
      </c>
      <c r="H7" s="4">
        <v>0.21982758620689655</v>
      </c>
      <c r="J7" s="50">
        <v>133</v>
      </c>
      <c r="K7" s="51" t="s">
        <v>125</v>
      </c>
      <c r="L7" s="50">
        <v>14283.0875384615</v>
      </c>
      <c r="M7" s="50">
        <v>63</v>
      </c>
      <c r="N7" s="37">
        <v>4</v>
      </c>
      <c r="O7" s="15">
        <f t="shared" si="2"/>
        <v>10060.090257058457</v>
      </c>
      <c r="P7" s="15">
        <f t="shared" si="0"/>
        <v>633785.6861946827</v>
      </c>
      <c r="Q7" s="15">
        <f t="shared" si="1"/>
        <v>899834.5149230744</v>
      </c>
    </row>
    <row r="8" spans="1:17" ht="12.75">
      <c r="A8" t="s">
        <v>8</v>
      </c>
      <c r="B8" s="3">
        <f>B5*E8</f>
        <v>11.625</v>
      </c>
      <c r="E8" s="4">
        <v>0.125</v>
      </c>
      <c r="G8">
        <v>30</v>
      </c>
      <c r="H8" s="4">
        <v>0.12931034482758622</v>
      </c>
      <c r="J8" s="50">
        <v>157</v>
      </c>
      <c r="K8" s="51" t="s">
        <v>125</v>
      </c>
      <c r="L8" s="50">
        <v>10269.0075675676</v>
      </c>
      <c r="M8" s="50">
        <v>146</v>
      </c>
      <c r="N8" s="37">
        <v>11</v>
      </c>
      <c r="O8" s="15">
        <f t="shared" si="2"/>
        <v>10060.090257058457</v>
      </c>
      <c r="P8" s="15">
        <f t="shared" si="0"/>
        <v>1468773.1775305346</v>
      </c>
      <c r="Q8" s="15">
        <f t="shared" si="1"/>
        <v>1499275.1048648695</v>
      </c>
    </row>
    <row r="9" spans="5:17" ht="12.75">
      <c r="E9" s="4"/>
      <c r="J9" s="50">
        <v>161</v>
      </c>
      <c r="K9" s="51" t="s">
        <v>125</v>
      </c>
      <c r="L9" s="50">
        <v>9784.31945652174</v>
      </c>
      <c r="M9" s="50">
        <v>94</v>
      </c>
      <c r="N9" s="37">
        <v>19</v>
      </c>
      <c r="O9" s="15">
        <f t="shared" si="2"/>
        <v>10060.090257058457</v>
      </c>
      <c r="P9" s="15">
        <f t="shared" si="0"/>
        <v>945648.4841634949</v>
      </c>
      <c r="Q9" s="15">
        <f t="shared" si="1"/>
        <v>919726.0289130436</v>
      </c>
    </row>
    <row r="10" spans="1:17" ht="12.75">
      <c r="A10" t="s">
        <v>18</v>
      </c>
      <c r="J10" s="50">
        <v>169</v>
      </c>
      <c r="K10" s="51" t="s">
        <v>125</v>
      </c>
      <c r="L10" s="50">
        <v>10593.5723584906</v>
      </c>
      <c r="M10" s="50">
        <v>99</v>
      </c>
      <c r="N10" s="37">
        <v>9</v>
      </c>
      <c r="O10" s="15">
        <f t="shared" si="2"/>
        <v>10060.090257058457</v>
      </c>
      <c r="P10" s="15">
        <f t="shared" si="0"/>
        <v>995948.9354487872</v>
      </c>
      <c r="Q10" s="15">
        <f t="shared" si="1"/>
        <v>1048763.6634905695</v>
      </c>
    </row>
    <row r="11" spans="1:17" ht="12.75">
      <c r="A11" t="s">
        <v>15</v>
      </c>
      <c r="B11">
        <v>8</v>
      </c>
      <c r="C11" s="15">
        <v>42914.98927153859</v>
      </c>
      <c r="D11" s="15">
        <f>C11*B11</f>
        <v>343319.9141723087</v>
      </c>
      <c r="E11" s="3">
        <f>B$5/B11</f>
        <v>11.625</v>
      </c>
      <c r="G11">
        <v>10.25</v>
      </c>
      <c r="H11" s="5">
        <v>22.634146341463413</v>
      </c>
      <c r="J11" s="50">
        <v>174</v>
      </c>
      <c r="K11" s="51" t="s">
        <v>125</v>
      </c>
      <c r="L11" s="50">
        <v>11343.9617266187</v>
      </c>
      <c r="M11" s="50">
        <v>121</v>
      </c>
      <c r="N11" s="37">
        <v>25</v>
      </c>
      <c r="O11" s="15">
        <f t="shared" si="2"/>
        <v>10060.090257058457</v>
      </c>
      <c r="P11" s="15">
        <f t="shared" si="0"/>
        <v>1217270.9211040733</v>
      </c>
      <c r="Q11" s="15">
        <f t="shared" si="1"/>
        <v>1372619.3689208627</v>
      </c>
    </row>
    <row r="12" spans="1:17" ht="12.75">
      <c r="A12" t="s">
        <v>16</v>
      </c>
      <c r="E12" s="3"/>
      <c r="G12">
        <v>6.75</v>
      </c>
      <c r="H12" s="5">
        <v>34.370370370370374</v>
      </c>
      <c r="J12" s="50">
        <v>192</v>
      </c>
      <c r="K12" s="51" t="s">
        <v>125</v>
      </c>
      <c r="L12" s="50">
        <v>11035.0097810219</v>
      </c>
      <c r="M12" s="50">
        <v>137</v>
      </c>
      <c r="N12" s="37">
        <v>13</v>
      </c>
      <c r="O12" s="15">
        <f t="shared" si="2"/>
        <v>10060.090257058457</v>
      </c>
      <c r="P12" s="15">
        <f t="shared" si="0"/>
        <v>1378232.3652170086</v>
      </c>
      <c r="Q12" s="15">
        <f t="shared" si="1"/>
        <v>1511796.3400000003</v>
      </c>
    </row>
    <row r="13" spans="5:17" ht="12.75">
      <c r="E13" s="3"/>
      <c r="G13">
        <f>SUM(G11:G12)</f>
        <v>17</v>
      </c>
      <c r="H13">
        <f>G5/G13</f>
        <v>13.647058823529411</v>
      </c>
      <c r="J13" s="50">
        <v>195</v>
      </c>
      <c r="K13" s="51" t="s">
        <v>125</v>
      </c>
      <c r="L13" s="50">
        <v>13154.1348571429</v>
      </c>
      <c r="M13" s="50">
        <v>66</v>
      </c>
      <c r="N13" s="37">
        <v>0</v>
      </c>
      <c r="O13" s="15">
        <f t="shared" si="2"/>
        <v>10060.090257058457</v>
      </c>
      <c r="P13" s="15">
        <f t="shared" si="0"/>
        <v>663965.9569658581</v>
      </c>
      <c r="Q13" s="15">
        <f t="shared" si="1"/>
        <v>868172.9005714315</v>
      </c>
    </row>
    <row r="14" spans="5:17" ht="12.75">
      <c r="E14" s="3"/>
      <c r="H14" s="5"/>
      <c r="J14" s="50">
        <v>268</v>
      </c>
      <c r="K14" s="51" t="s">
        <v>125</v>
      </c>
      <c r="L14" s="50">
        <v>8829.83133603239</v>
      </c>
      <c r="M14" s="50">
        <v>85</v>
      </c>
      <c r="N14" s="37">
        <v>16</v>
      </c>
      <c r="O14" s="15">
        <f t="shared" si="2"/>
        <v>10060.090257058457</v>
      </c>
      <c r="P14" s="15">
        <f t="shared" si="0"/>
        <v>855107.6718499688</v>
      </c>
      <c r="Q14" s="15">
        <f t="shared" si="1"/>
        <v>750535.6635627531</v>
      </c>
    </row>
    <row r="15" spans="1:17" ht="12.75">
      <c r="A15" t="s">
        <v>17</v>
      </c>
      <c r="B15">
        <v>1.5</v>
      </c>
      <c r="C15" s="15">
        <v>20738.494724169057</v>
      </c>
      <c r="D15" s="15">
        <f>C15*B15</f>
        <v>31107.742086253587</v>
      </c>
      <c r="E15" s="3">
        <f>B$5/B15</f>
        <v>62</v>
      </c>
      <c r="G15">
        <v>2.5</v>
      </c>
      <c r="H15">
        <v>92.8</v>
      </c>
      <c r="J15" s="50">
        <v>335</v>
      </c>
      <c r="K15" s="51" t="s">
        <v>125</v>
      </c>
      <c r="L15" s="50">
        <v>9997.17791767554</v>
      </c>
      <c r="M15" s="50">
        <v>144</v>
      </c>
      <c r="N15" s="37">
        <v>6</v>
      </c>
      <c r="O15" s="15">
        <f t="shared" si="2"/>
        <v>10060.090257058457</v>
      </c>
      <c r="P15" s="15">
        <f t="shared" si="0"/>
        <v>1448652.9970164178</v>
      </c>
      <c r="Q15" s="15">
        <f t="shared" si="1"/>
        <v>1439593.6201452778</v>
      </c>
    </row>
    <row r="16" spans="5:17" ht="12.75">
      <c r="E16" s="3"/>
      <c r="H16" s="5"/>
      <c r="J16" s="50">
        <v>381</v>
      </c>
      <c r="K16" s="51" t="s">
        <v>125</v>
      </c>
      <c r="L16" s="50">
        <v>12209.1301724138</v>
      </c>
      <c r="M16" s="50">
        <v>53</v>
      </c>
      <c r="N16" s="37">
        <v>3</v>
      </c>
      <c r="O16" s="15">
        <f t="shared" si="2"/>
        <v>10060.090257058457</v>
      </c>
      <c r="P16" s="15">
        <f t="shared" si="0"/>
        <v>533184.7836240982</v>
      </c>
      <c r="Q16" s="15">
        <f t="shared" si="1"/>
        <v>647083.8991379314</v>
      </c>
    </row>
    <row r="17" spans="1:17" ht="12.75">
      <c r="A17" t="s">
        <v>19</v>
      </c>
      <c r="B17">
        <v>1</v>
      </c>
      <c r="C17" s="15">
        <v>42914.98927153859</v>
      </c>
      <c r="D17" s="15">
        <f>C17*B17</f>
        <v>42914.98927153859</v>
      </c>
      <c r="E17" s="3">
        <f>B$8/B17</f>
        <v>11.625</v>
      </c>
      <c r="G17">
        <v>2</v>
      </c>
      <c r="H17" s="5">
        <v>15</v>
      </c>
      <c r="J17" s="50">
        <v>392</v>
      </c>
      <c r="K17" s="51" t="s">
        <v>125</v>
      </c>
      <c r="L17" s="50">
        <v>9902.86171428572</v>
      </c>
      <c r="M17" s="50">
        <v>54</v>
      </c>
      <c r="N17" s="37">
        <v>7</v>
      </c>
      <c r="O17" s="15">
        <f t="shared" si="2"/>
        <v>10060.090257058457</v>
      </c>
      <c r="P17" s="15">
        <f t="shared" si="0"/>
        <v>543244.8738811567</v>
      </c>
      <c r="Q17" s="15">
        <f t="shared" si="1"/>
        <v>534754.5325714289</v>
      </c>
    </row>
    <row r="18" spans="1:17" ht="12.75">
      <c r="A18" t="s">
        <v>16</v>
      </c>
      <c r="E18" s="3"/>
      <c r="G18">
        <v>0</v>
      </c>
      <c r="J18" s="50">
        <v>496</v>
      </c>
      <c r="K18" s="51" t="s">
        <v>125</v>
      </c>
      <c r="L18" s="50">
        <v>8875.18081896551</v>
      </c>
      <c r="M18" s="50">
        <v>67</v>
      </c>
      <c r="N18" s="37">
        <v>17</v>
      </c>
      <c r="O18" s="15">
        <f t="shared" si="2"/>
        <v>10060.090257058457</v>
      </c>
      <c r="P18" s="15">
        <f t="shared" si="0"/>
        <v>674026.0472229166</v>
      </c>
      <c r="Q18" s="15">
        <f t="shared" si="1"/>
        <v>594637.1148706891</v>
      </c>
    </row>
    <row r="19" spans="1:17" ht="12.75">
      <c r="A19" t="s">
        <v>17</v>
      </c>
      <c r="B19">
        <v>2</v>
      </c>
      <c r="C19" s="15">
        <v>20738.494724169057</v>
      </c>
      <c r="D19" s="15">
        <f>C19*B19</f>
        <v>41476.989448338114</v>
      </c>
      <c r="E19" s="3">
        <f>B$8/B19</f>
        <v>5.8125</v>
      </c>
      <c r="G19">
        <v>2</v>
      </c>
      <c r="H19" s="5">
        <v>15</v>
      </c>
      <c r="J19" s="50">
        <v>534</v>
      </c>
      <c r="K19" s="51" t="s">
        <v>125</v>
      </c>
      <c r="L19" s="50">
        <v>10866.08</v>
      </c>
      <c r="M19" s="50">
        <v>75</v>
      </c>
      <c r="N19" s="37">
        <v>6</v>
      </c>
      <c r="O19" s="15">
        <f t="shared" si="2"/>
        <v>10060.090257058457</v>
      </c>
      <c r="P19" s="15">
        <f t="shared" si="0"/>
        <v>754506.7692793843</v>
      </c>
      <c r="Q19" s="15">
        <f t="shared" si="1"/>
        <v>814956</v>
      </c>
    </row>
    <row r="20" spans="5:17" ht="12.75">
      <c r="E20" s="3"/>
      <c r="H20" s="5"/>
      <c r="J20" s="50">
        <v>564</v>
      </c>
      <c r="K20" s="51" t="s">
        <v>125</v>
      </c>
      <c r="L20" s="50">
        <v>9573.2695</v>
      </c>
      <c r="M20" s="50">
        <v>98</v>
      </c>
      <c r="N20" s="37">
        <v>12</v>
      </c>
      <c r="O20" s="15">
        <f t="shared" si="2"/>
        <v>10060.090257058457</v>
      </c>
      <c r="P20" s="15">
        <f t="shared" si="0"/>
        <v>985888.8451917288</v>
      </c>
      <c r="Q20" s="15">
        <f t="shared" si="1"/>
        <v>938180.4110000001</v>
      </c>
    </row>
    <row r="21" spans="5:17" ht="12.75">
      <c r="E21" s="3"/>
      <c r="H21" s="5"/>
      <c r="J21" s="50">
        <v>565</v>
      </c>
      <c r="K21" s="51" t="s">
        <v>125</v>
      </c>
      <c r="L21" s="50">
        <v>8119.86715555555</v>
      </c>
      <c r="M21" s="50">
        <v>70</v>
      </c>
      <c r="N21" s="37">
        <v>15</v>
      </c>
      <c r="O21" s="15">
        <f t="shared" si="2"/>
        <v>10060.090257058457</v>
      </c>
      <c r="P21" s="15">
        <f t="shared" si="0"/>
        <v>704206.317994092</v>
      </c>
      <c r="Q21" s="15">
        <f t="shared" si="1"/>
        <v>568390.7008888886</v>
      </c>
    </row>
    <row r="22" spans="1:17" ht="12.75">
      <c r="A22" t="s">
        <v>20</v>
      </c>
      <c r="E22" s="3"/>
      <c r="H22" s="5"/>
      <c r="J22" s="50">
        <v>591</v>
      </c>
      <c r="K22" s="51" t="s">
        <v>125</v>
      </c>
      <c r="L22" s="50">
        <v>10475.5238938053</v>
      </c>
      <c r="M22" s="50">
        <v>52</v>
      </c>
      <c r="N22" s="37">
        <v>5</v>
      </c>
      <c r="O22" s="15">
        <f t="shared" si="2"/>
        <v>10060.090257058457</v>
      </c>
      <c r="P22" s="15">
        <f t="shared" si="0"/>
        <v>523124.6933670397</v>
      </c>
      <c r="Q22" s="15">
        <f t="shared" si="1"/>
        <v>544727.2424778757</v>
      </c>
    </row>
    <row r="23" spans="1:17" ht="12.75">
      <c r="A23" t="s">
        <v>11</v>
      </c>
      <c r="B23">
        <v>0.5</v>
      </c>
      <c r="C23" s="15">
        <v>46319.211226175925</v>
      </c>
      <c r="D23" s="15">
        <f>C23*B23</f>
        <v>23159.605613087962</v>
      </c>
      <c r="E23" s="3">
        <f>B$5/B23</f>
        <v>186</v>
      </c>
      <c r="G23">
        <v>0.5</v>
      </c>
      <c r="H23" s="5">
        <v>464</v>
      </c>
      <c r="J23" s="50">
        <v>618</v>
      </c>
      <c r="K23" s="51" t="s">
        <v>125</v>
      </c>
      <c r="L23" s="50">
        <v>9442.7702919708</v>
      </c>
      <c r="M23" s="50">
        <v>50</v>
      </c>
      <c r="N23" s="37">
        <v>5</v>
      </c>
      <c r="O23" s="15">
        <f t="shared" si="2"/>
        <v>10060.090257058457</v>
      </c>
      <c r="P23" s="15">
        <f t="shared" si="0"/>
        <v>503004.51285292284</v>
      </c>
      <c r="Q23" s="15">
        <f t="shared" si="1"/>
        <v>472138.51459854003</v>
      </c>
    </row>
    <row r="24" spans="1:17" ht="12.75">
      <c r="A24" t="s">
        <v>58</v>
      </c>
      <c r="B24">
        <v>0.1</v>
      </c>
      <c r="C24" s="15">
        <v>37487.41846994718</v>
      </c>
      <c r="D24" s="15">
        <f>C24*B24</f>
        <v>3748.7418469947183</v>
      </c>
      <c r="E24" s="3">
        <f>B$5/B24</f>
        <v>930</v>
      </c>
      <c r="G24">
        <v>0.25</v>
      </c>
      <c r="H24" s="5">
        <v>928</v>
      </c>
      <c r="J24" s="50">
        <v>636</v>
      </c>
      <c r="K24" s="51" t="s">
        <v>125</v>
      </c>
      <c r="L24" s="50">
        <v>9156.84649484536</v>
      </c>
      <c r="M24" s="50">
        <v>112</v>
      </c>
      <c r="N24" s="37">
        <v>16</v>
      </c>
      <c r="O24" s="15">
        <f t="shared" si="2"/>
        <v>10060.090257058457</v>
      </c>
      <c r="P24" s="15">
        <f t="shared" si="0"/>
        <v>1126730.1087905471</v>
      </c>
      <c r="Q24" s="15">
        <f t="shared" si="1"/>
        <v>1025566.8074226803</v>
      </c>
    </row>
    <row r="25" spans="5:17" ht="12.75">
      <c r="E25" s="3"/>
      <c r="H25" s="5"/>
      <c r="J25" s="50">
        <v>687</v>
      </c>
      <c r="K25" s="51" t="s">
        <v>125</v>
      </c>
      <c r="L25" s="50">
        <v>11863.9071084337</v>
      </c>
      <c r="M25" s="50">
        <v>82</v>
      </c>
      <c r="N25" s="37">
        <v>1</v>
      </c>
      <c r="O25" s="15">
        <f t="shared" si="2"/>
        <v>10060.090257058457</v>
      </c>
      <c r="P25" s="15">
        <f t="shared" si="0"/>
        <v>824927.4010787935</v>
      </c>
      <c r="Q25" s="15">
        <f t="shared" si="1"/>
        <v>972840.3828915633</v>
      </c>
    </row>
    <row r="26" spans="1:17" ht="12.75">
      <c r="A26" t="s">
        <v>19</v>
      </c>
      <c r="E26" s="3"/>
      <c r="H26" s="5"/>
      <c r="J26" s="50">
        <v>722</v>
      </c>
      <c r="K26" s="51" t="s">
        <v>125</v>
      </c>
      <c r="L26" s="50">
        <v>16169.5238666667</v>
      </c>
      <c r="M26" s="50">
        <v>79</v>
      </c>
      <c r="N26" s="37">
        <v>5</v>
      </c>
      <c r="O26" s="15">
        <f t="shared" si="2"/>
        <v>10060.090257058457</v>
      </c>
      <c r="P26" s="15">
        <f t="shared" si="0"/>
        <v>794747.1303076181</v>
      </c>
      <c r="Q26" s="15">
        <f t="shared" si="1"/>
        <v>1277392.3854666692</v>
      </c>
    </row>
    <row r="27" spans="1:17" ht="12.75">
      <c r="A27" s="6" t="s">
        <v>22</v>
      </c>
      <c r="B27">
        <v>0.1</v>
      </c>
      <c r="C27" s="15">
        <v>46396.4268055664</v>
      </c>
      <c r="D27" s="15">
        <f>C27*B27</f>
        <v>4639.64268055664</v>
      </c>
      <c r="E27" s="3">
        <f>B$8/B27</f>
        <v>116.25</v>
      </c>
      <c r="G27">
        <v>0.2</v>
      </c>
      <c r="H27" s="5">
        <v>150</v>
      </c>
      <c r="J27" s="50">
        <v>724</v>
      </c>
      <c r="K27" s="51" t="s">
        <v>125</v>
      </c>
      <c r="L27" s="50">
        <v>8769.58623931624</v>
      </c>
      <c r="M27" s="50">
        <v>74</v>
      </c>
      <c r="N27" s="37">
        <v>3</v>
      </c>
      <c r="O27" s="15">
        <f t="shared" si="2"/>
        <v>10060.090257058457</v>
      </c>
      <c r="P27" s="15">
        <f t="shared" si="0"/>
        <v>744446.6790223258</v>
      </c>
      <c r="Q27" s="15">
        <f t="shared" si="1"/>
        <v>648949.3817094018</v>
      </c>
    </row>
    <row r="28" spans="1:17" ht="12.75">
      <c r="A28" t="s">
        <v>23</v>
      </c>
      <c r="B28">
        <v>0.1</v>
      </c>
      <c r="C28" s="15">
        <v>48090.39947775422</v>
      </c>
      <c r="D28" s="15">
        <f>C28*B28</f>
        <v>4809.039947775422</v>
      </c>
      <c r="E28" s="3">
        <f>B$8/B28</f>
        <v>116.25</v>
      </c>
      <c r="G28">
        <v>0.2</v>
      </c>
      <c r="H28" s="5">
        <v>150</v>
      </c>
      <c r="J28" s="50">
        <v>731</v>
      </c>
      <c r="K28" s="51" t="s">
        <v>125</v>
      </c>
      <c r="L28" s="50">
        <v>7848.82882681564</v>
      </c>
      <c r="M28" s="50">
        <v>134</v>
      </c>
      <c r="N28" s="37">
        <v>8</v>
      </c>
      <c r="O28" s="15">
        <f t="shared" si="2"/>
        <v>10060.090257058457</v>
      </c>
      <c r="P28" s="15">
        <f t="shared" si="0"/>
        <v>1348052.0944458332</v>
      </c>
      <c r="Q28" s="15">
        <f t="shared" si="1"/>
        <v>1051743.0627932958</v>
      </c>
    </row>
    <row r="29" spans="5:17" ht="12.75">
      <c r="E29" s="3"/>
      <c r="H29" s="5"/>
      <c r="J29" s="50">
        <v>733</v>
      </c>
      <c r="K29" s="51" t="s">
        <v>125</v>
      </c>
      <c r="L29" s="50">
        <v>9746.96966292135</v>
      </c>
      <c r="M29" s="50">
        <v>76</v>
      </c>
      <c r="N29" s="37">
        <v>4</v>
      </c>
      <c r="O29" s="15">
        <f t="shared" si="2"/>
        <v>10060.090257058457</v>
      </c>
      <c r="P29" s="15">
        <f t="shared" si="0"/>
        <v>764566.8595364427</v>
      </c>
      <c r="Q29" s="15">
        <f t="shared" si="1"/>
        <v>740769.6943820226</v>
      </c>
    </row>
    <row r="30" spans="5:17" ht="12.75">
      <c r="E30" s="3"/>
      <c r="H30" s="5"/>
      <c r="J30" s="50">
        <v>759</v>
      </c>
      <c r="K30" s="51" t="s">
        <v>125</v>
      </c>
      <c r="L30" s="50">
        <v>11347.5935897436</v>
      </c>
      <c r="M30" s="50">
        <v>79</v>
      </c>
      <c r="N30" s="37">
        <v>17</v>
      </c>
      <c r="O30" s="15">
        <f t="shared" si="2"/>
        <v>10060.090257058457</v>
      </c>
      <c r="P30" s="15">
        <f t="shared" si="0"/>
        <v>794747.1303076181</v>
      </c>
      <c r="Q30" s="15">
        <f t="shared" si="1"/>
        <v>896459.8935897443</v>
      </c>
    </row>
    <row r="31" spans="5:17" ht="12.75">
      <c r="E31" s="3"/>
      <c r="H31" s="5"/>
      <c r="J31" s="50">
        <v>766</v>
      </c>
      <c r="K31" s="51" t="s">
        <v>125</v>
      </c>
      <c r="L31" s="50">
        <v>8177.57166666667</v>
      </c>
      <c r="M31" s="50">
        <v>89</v>
      </c>
      <c r="N31" s="37">
        <v>15</v>
      </c>
      <c r="O31" s="15">
        <f t="shared" si="2"/>
        <v>10060.090257058457</v>
      </c>
      <c r="P31" s="15">
        <f t="shared" si="0"/>
        <v>895348.0328782026</v>
      </c>
      <c r="Q31" s="15">
        <f t="shared" si="1"/>
        <v>727803.8783333336</v>
      </c>
    </row>
    <row r="32" spans="5:17" ht="12.75">
      <c r="E32" s="3"/>
      <c r="H32" s="5"/>
      <c r="J32" s="50">
        <v>768</v>
      </c>
      <c r="K32" s="51" t="s">
        <v>125</v>
      </c>
      <c r="L32" s="50">
        <v>11250.5379015544</v>
      </c>
      <c r="M32" s="50">
        <v>132</v>
      </c>
      <c r="N32" s="37">
        <v>11</v>
      </c>
      <c r="O32" s="15">
        <f t="shared" si="2"/>
        <v>10060.090257058457</v>
      </c>
      <c r="P32" s="15">
        <f t="shared" si="0"/>
        <v>1327931.9139317162</v>
      </c>
      <c r="Q32" s="15">
        <f t="shared" si="1"/>
        <v>1485071.0030051807</v>
      </c>
    </row>
    <row r="33" spans="1:17" ht="12.75">
      <c r="A33" t="s">
        <v>12</v>
      </c>
      <c r="E33" s="3"/>
      <c r="H33" s="5"/>
      <c r="J33" s="50">
        <v>771</v>
      </c>
      <c r="K33" s="51" t="s">
        <v>125</v>
      </c>
      <c r="L33" s="50">
        <v>11044.0393142857</v>
      </c>
      <c r="M33" s="50">
        <v>73</v>
      </c>
      <c r="N33" s="37">
        <v>13</v>
      </c>
      <c r="O33" s="15">
        <f t="shared" si="2"/>
        <v>10060.090257058457</v>
      </c>
      <c r="P33" s="15">
        <f t="shared" si="0"/>
        <v>734386.5887652673</v>
      </c>
      <c r="Q33" s="15">
        <f t="shared" si="1"/>
        <v>806214.869942856</v>
      </c>
    </row>
    <row r="34" spans="1:17" ht="12.75">
      <c r="A34" t="s">
        <v>24</v>
      </c>
      <c r="B34">
        <v>0.5</v>
      </c>
      <c r="C34" s="15">
        <v>41163.357056373745</v>
      </c>
      <c r="D34" s="15">
        <f>C34*B34</f>
        <v>20581.678528186872</v>
      </c>
      <c r="E34" s="3">
        <f>B$5/B34</f>
        <v>186</v>
      </c>
      <c r="G34">
        <v>1</v>
      </c>
      <c r="H34" s="5">
        <v>232</v>
      </c>
      <c r="J34" s="50">
        <v>824</v>
      </c>
      <c r="K34" s="51" t="s">
        <v>125</v>
      </c>
      <c r="L34" s="50">
        <v>11578.6912903226</v>
      </c>
      <c r="M34" s="50">
        <v>90</v>
      </c>
      <c r="N34" s="37">
        <v>7</v>
      </c>
      <c r="O34" s="15">
        <f t="shared" si="2"/>
        <v>10060.090257058457</v>
      </c>
      <c r="P34" s="15">
        <f t="shared" si="0"/>
        <v>905408.1231352611</v>
      </c>
      <c r="Q34" s="15">
        <f t="shared" si="1"/>
        <v>1042082.2161290341</v>
      </c>
    </row>
    <row r="35" spans="1:17" ht="12.75">
      <c r="A35" t="s">
        <v>25</v>
      </c>
      <c r="B35">
        <v>0.5</v>
      </c>
      <c r="C35" s="15">
        <v>38216.04733492906</v>
      </c>
      <c r="D35" s="15">
        <f>C35*B35</f>
        <v>19108.02366746453</v>
      </c>
      <c r="E35" s="3">
        <f>B$5/B35</f>
        <v>186</v>
      </c>
      <c r="G35">
        <v>0</v>
      </c>
      <c r="H35" s="5">
        <v>0</v>
      </c>
      <c r="J35" s="50">
        <v>899</v>
      </c>
      <c r="K35" s="51" t="s">
        <v>125</v>
      </c>
      <c r="L35" s="50">
        <v>11179.0990666667</v>
      </c>
      <c r="M35" s="50">
        <v>67</v>
      </c>
      <c r="N35" s="37">
        <v>1</v>
      </c>
      <c r="O35" s="15">
        <f t="shared" si="2"/>
        <v>10060.090257058457</v>
      </c>
      <c r="P35" s="15">
        <f t="shared" si="0"/>
        <v>674026.0472229166</v>
      </c>
      <c r="Q35" s="15">
        <f t="shared" si="1"/>
        <v>748999.637466669</v>
      </c>
    </row>
    <row r="36" spans="1:17" ht="12.75">
      <c r="A36" t="s">
        <v>26</v>
      </c>
      <c r="D36" s="15">
        <f>0.9*14400</f>
        <v>12960</v>
      </c>
      <c r="E36" s="3"/>
      <c r="G36" s="7">
        <v>15750</v>
      </c>
      <c r="H36" s="5" t="s">
        <v>10</v>
      </c>
      <c r="J36" s="50">
        <v>931</v>
      </c>
      <c r="K36" s="51" t="s">
        <v>125</v>
      </c>
      <c r="L36" s="50">
        <v>8836.65328467153</v>
      </c>
      <c r="M36" s="50">
        <v>143</v>
      </c>
      <c r="N36" s="37">
        <v>11</v>
      </c>
      <c r="O36" s="15">
        <f t="shared" si="2"/>
        <v>10060.090257058457</v>
      </c>
      <c r="P36" s="15">
        <f t="shared" si="0"/>
        <v>1438592.9067593594</v>
      </c>
      <c r="Q36" s="15">
        <f t="shared" si="1"/>
        <v>1263641.419708029</v>
      </c>
    </row>
    <row r="37" spans="5:17" ht="12.75">
      <c r="E37" s="3"/>
      <c r="H37" s="5"/>
      <c r="J37" s="50">
        <v>958</v>
      </c>
      <c r="K37" s="51" t="s">
        <v>125</v>
      </c>
      <c r="L37" s="50">
        <v>10172.6940804598</v>
      </c>
      <c r="M37" s="50">
        <v>61</v>
      </c>
      <c r="N37" s="37">
        <v>10</v>
      </c>
      <c r="O37" s="15">
        <f t="shared" si="2"/>
        <v>10060.090257058457</v>
      </c>
      <c r="P37" s="15">
        <f t="shared" si="0"/>
        <v>613665.5056805658</v>
      </c>
      <c r="Q37" s="15">
        <f t="shared" si="1"/>
        <v>620534.3389080478</v>
      </c>
    </row>
    <row r="38" spans="1:17" ht="12.75">
      <c r="A38" t="s">
        <v>27</v>
      </c>
      <c r="E38" s="3"/>
      <c r="H38" s="5"/>
      <c r="J38" s="50">
        <v>972</v>
      </c>
      <c r="K38" s="51" t="s">
        <v>125</v>
      </c>
      <c r="L38" s="50">
        <v>6940.10265486725</v>
      </c>
      <c r="M38" s="50">
        <v>125</v>
      </c>
      <c r="N38" s="37">
        <v>16</v>
      </c>
      <c r="O38" s="15">
        <f t="shared" si="2"/>
        <v>10060.090257058457</v>
      </c>
      <c r="P38" s="15">
        <f t="shared" si="0"/>
        <v>1257511.282132307</v>
      </c>
      <c r="Q38" s="15">
        <f t="shared" si="1"/>
        <v>867512.8318584062</v>
      </c>
    </row>
    <row r="39" spans="1:17" ht="12.75">
      <c r="A39" t="s">
        <v>13</v>
      </c>
      <c r="B39">
        <v>0.5</v>
      </c>
      <c r="C39" s="15">
        <v>66157.3544068731</v>
      </c>
      <c r="D39" s="15">
        <f>C39*B39</f>
        <v>33078.67720343655</v>
      </c>
      <c r="E39" s="3">
        <f>B$5/B39</f>
        <v>186</v>
      </c>
      <c r="G39">
        <v>1</v>
      </c>
      <c r="H39" s="5">
        <v>232</v>
      </c>
      <c r="J39" s="50">
        <v>983</v>
      </c>
      <c r="K39" s="51" t="s">
        <v>125</v>
      </c>
      <c r="L39" s="50">
        <v>9694.17819672131</v>
      </c>
      <c r="M39" s="50">
        <v>50</v>
      </c>
      <c r="N39" s="37">
        <v>1</v>
      </c>
      <c r="O39" s="15">
        <f t="shared" si="2"/>
        <v>10060.090257058457</v>
      </c>
      <c r="P39" s="15">
        <f t="shared" si="0"/>
        <v>503004.51285292284</v>
      </c>
      <c r="Q39" s="15">
        <f t="shared" si="1"/>
        <v>484708.9098360655</v>
      </c>
    </row>
    <row r="40" spans="1:17" ht="12.75">
      <c r="A40" t="s">
        <v>59</v>
      </c>
      <c r="E40" s="3"/>
      <c r="G40">
        <v>0.5</v>
      </c>
      <c r="H40" s="5">
        <v>464</v>
      </c>
      <c r="J40" s="50">
        <v>987</v>
      </c>
      <c r="K40" s="51" t="s">
        <v>125</v>
      </c>
      <c r="L40" s="50">
        <v>9474.47761904762</v>
      </c>
      <c r="M40" s="50">
        <v>101</v>
      </c>
      <c r="N40" s="37">
        <v>22</v>
      </c>
      <c r="O40" s="15">
        <f t="shared" si="2"/>
        <v>10060.090257058457</v>
      </c>
      <c r="P40" s="15">
        <f t="shared" si="0"/>
        <v>1016069.1159629042</v>
      </c>
      <c r="Q40" s="15">
        <f t="shared" si="1"/>
        <v>956922.2395238096</v>
      </c>
    </row>
    <row r="41" spans="1:17" ht="12.75">
      <c r="A41" t="s">
        <v>14</v>
      </c>
      <c r="B41">
        <v>1</v>
      </c>
      <c r="C41" s="15">
        <v>25044.977520676086</v>
      </c>
      <c r="D41" s="15">
        <f>C41*B41</f>
        <v>25044.977520676086</v>
      </c>
      <c r="E41" s="3">
        <f>B$5/B41</f>
        <v>93</v>
      </c>
      <c r="G41">
        <v>1.5</v>
      </c>
      <c r="H41" s="5">
        <v>154.66666666666666</v>
      </c>
      <c r="J41" s="50">
        <v>1018</v>
      </c>
      <c r="K41" s="51" t="s">
        <v>125</v>
      </c>
      <c r="L41" s="50">
        <v>13167.8545588235</v>
      </c>
      <c r="M41" s="50">
        <v>67</v>
      </c>
      <c r="N41" s="37">
        <v>8</v>
      </c>
      <c r="O41" s="15">
        <f t="shared" si="2"/>
        <v>10060.090257058457</v>
      </c>
      <c r="P41" s="15">
        <f t="shared" si="0"/>
        <v>674026.0472229166</v>
      </c>
      <c r="Q41" s="15">
        <f t="shared" si="1"/>
        <v>882246.2554411745</v>
      </c>
    </row>
    <row r="42" spans="5:17" ht="12.75">
      <c r="E42" s="3"/>
      <c r="J42" s="50">
        <v>1034</v>
      </c>
      <c r="K42" s="51" t="s">
        <v>125</v>
      </c>
      <c r="L42" s="50">
        <v>9879.07727891157</v>
      </c>
      <c r="M42" s="50">
        <v>132</v>
      </c>
      <c r="N42" s="37">
        <v>11</v>
      </c>
      <c r="O42" s="15">
        <f t="shared" si="2"/>
        <v>10060.090257058457</v>
      </c>
      <c r="P42" s="15">
        <f t="shared" si="0"/>
        <v>1327931.9139317162</v>
      </c>
      <c r="Q42" s="15">
        <f t="shared" si="1"/>
        <v>1304038.2008163272</v>
      </c>
    </row>
    <row r="43" spans="1:17" ht="12.75">
      <c r="A43" t="s">
        <v>28</v>
      </c>
      <c r="E43" s="3"/>
      <c r="G43" t="s">
        <v>35</v>
      </c>
      <c r="J43" s="50">
        <v>1055</v>
      </c>
      <c r="K43" s="51" t="s">
        <v>125</v>
      </c>
      <c r="L43" s="50">
        <v>8604.93818181818</v>
      </c>
      <c r="M43" s="50">
        <v>105</v>
      </c>
      <c r="N43" s="37">
        <v>4</v>
      </c>
      <c r="O43" s="15">
        <f t="shared" si="2"/>
        <v>10060.090257058457</v>
      </c>
      <c r="P43" s="15">
        <f t="shared" si="0"/>
        <v>1056309.476991138</v>
      </c>
      <c r="Q43" s="15">
        <f t="shared" si="1"/>
        <v>903518.5090909088</v>
      </c>
    </row>
    <row r="44" spans="1:17" ht="12.75">
      <c r="A44" t="s">
        <v>29</v>
      </c>
      <c r="D44" s="15">
        <v>400</v>
      </c>
      <c r="H44">
        <v>250</v>
      </c>
      <c r="J44" s="50">
        <v>1058</v>
      </c>
      <c r="K44" s="51" t="s">
        <v>125</v>
      </c>
      <c r="L44" s="50">
        <v>9832.76094594595</v>
      </c>
      <c r="M44" s="50">
        <v>64</v>
      </c>
      <c r="N44" s="37">
        <v>7</v>
      </c>
      <c r="O44" s="15">
        <f t="shared" si="2"/>
        <v>10060.090257058457</v>
      </c>
      <c r="P44" s="15">
        <f t="shared" si="0"/>
        <v>643845.7764517412</v>
      </c>
      <c r="Q44" s="15">
        <f t="shared" si="1"/>
        <v>629296.7005405409</v>
      </c>
    </row>
    <row r="45" spans="1:17" ht="12.75">
      <c r="A45" t="s">
        <v>30</v>
      </c>
      <c r="D45" s="15">
        <v>300</v>
      </c>
      <c r="H45">
        <v>150</v>
      </c>
      <c r="J45" s="50">
        <v>1071</v>
      </c>
      <c r="K45" s="51" t="s">
        <v>125</v>
      </c>
      <c r="L45" s="50">
        <v>8193.851475</v>
      </c>
      <c r="M45" s="50">
        <v>147</v>
      </c>
      <c r="N45" s="37">
        <v>23</v>
      </c>
      <c r="O45" s="15">
        <f t="shared" si="2"/>
        <v>10060.090257058457</v>
      </c>
      <c r="P45" s="15">
        <f t="shared" si="0"/>
        <v>1478833.2677875932</v>
      </c>
      <c r="Q45" s="15">
        <f t="shared" si="1"/>
        <v>1204496.166825</v>
      </c>
    </row>
    <row r="46" spans="1:17" ht="12.75">
      <c r="A46" t="s">
        <v>31</v>
      </c>
      <c r="D46" s="15">
        <v>500</v>
      </c>
      <c r="H46">
        <v>275</v>
      </c>
      <c r="J46" s="50">
        <v>1110</v>
      </c>
      <c r="K46" s="51" t="s">
        <v>125</v>
      </c>
      <c r="L46" s="50">
        <v>9423.34022988506</v>
      </c>
      <c r="M46" s="50">
        <v>94</v>
      </c>
      <c r="N46" s="37">
        <v>7</v>
      </c>
      <c r="O46" s="15">
        <f t="shared" si="2"/>
        <v>10060.090257058457</v>
      </c>
      <c r="P46" s="15">
        <f t="shared" si="0"/>
        <v>945648.4841634949</v>
      </c>
      <c r="Q46" s="15">
        <f t="shared" si="1"/>
        <v>885793.9816091956</v>
      </c>
    </row>
    <row r="47" spans="1:17" ht="12.75">
      <c r="A47" t="s">
        <v>32</v>
      </c>
      <c r="D47" s="15">
        <v>80</v>
      </c>
      <c r="H47">
        <v>20</v>
      </c>
      <c r="J47" s="50">
        <v>1126</v>
      </c>
      <c r="K47" s="51" t="s">
        <v>125</v>
      </c>
      <c r="L47" s="50">
        <v>11562.8417948718</v>
      </c>
      <c r="M47" s="50">
        <v>95</v>
      </c>
      <c r="N47" s="37">
        <v>7</v>
      </c>
      <c r="O47" s="15">
        <f t="shared" si="2"/>
        <v>10060.090257058457</v>
      </c>
      <c r="P47" s="15">
        <f t="shared" si="0"/>
        <v>955708.5744205534</v>
      </c>
      <c r="Q47" s="15">
        <f t="shared" si="1"/>
        <v>1098469.9705128209</v>
      </c>
    </row>
    <row r="48" spans="1:17" ht="12.75">
      <c r="A48" t="s">
        <v>33</v>
      </c>
      <c r="D48" s="15">
        <v>700</v>
      </c>
      <c r="H48">
        <v>600</v>
      </c>
      <c r="J48" s="50">
        <v>1159</v>
      </c>
      <c r="K48" s="51" t="s">
        <v>125</v>
      </c>
      <c r="L48" s="50">
        <v>12956.3728</v>
      </c>
      <c r="M48" s="50">
        <v>54</v>
      </c>
      <c r="N48" s="37">
        <v>2</v>
      </c>
      <c r="O48" s="15">
        <f t="shared" si="2"/>
        <v>10060.090257058457</v>
      </c>
      <c r="P48" s="15">
        <f t="shared" si="0"/>
        <v>543244.8738811567</v>
      </c>
      <c r="Q48" s="15">
        <f t="shared" si="1"/>
        <v>699644.1312</v>
      </c>
    </row>
    <row r="49" spans="1:17" ht="12.75">
      <c r="A49" t="s">
        <v>34</v>
      </c>
      <c r="D49" s="15">
        <v>50</v>
      </c>
      <c r="J49" s="50">
        <v>1168</v>
      </c>
      <c r="K49" s="51" t="s">
        <v>125</v>
      </c>
      <c r="L49" s="50">
        <v>7486.01176923077</v>
      </c>
      <c r="M49" s="50">
        <v>89</v>
      </c>
      <c r="N49" s="37">
        <v>13</v>
      </c>
      <c r="O49" s="15">
        <f t="shared" si="2"/>
        <v>10060.090257058457</v>
      </c>
      <c r="P49" s="15">
        <f t="shared" si="0"/>
        <v>895348.0328782026</v>
      </c>
      <c r="Q49" s="15">
        <f t="shared" si="1"/>
        <v>666255.0474615386</v>
      </c>
    </row>
    <row r="50" spans="10:17" ht="12.75">
      <c r="J50" s="50">
        <v>1219</v>
      </c>
      <c r="K50" s="51" t="s">
        <v>125</v>
      </c>
      <c r="L50" s="50">
        <v>8665.92266666667</v>
      </c>
      <c r="M50" s="50">
        <v>50</v>
      </c>
      <c r="N50" s="37">
        <v>3</v>
      </c>
      <c r="O50" s="15">
        <f t="shared" si="2"/>
        <v>10060.090257058457</v>
      </c>
      <c r="P50" s="15">
        <f t="shared" si="0"/>
        <v>503004.51285292284</v>
      </c>
      <c r="Q50" s="15">
        <f t="shared" si="1"/>
        <v>433296.1333333335</v>
      </c>
    </row>
    <row r="51" spans="1:17" ht="12.75">
      <c r="A51" t="s">
        <v>134</v>
      </c>
      <c r="D51" s="15">
        <f>SUM(D11:D41)+SUM(D44:D49)*B5</f>
        <v>794740.0219866177</v>
      </c>
      <c r="J51" s="50">
        <v>1230</v>
      </c>
      <c r="K51" s="51" t="s">
        <v>125</v>
      </c>
      <c r="L51" s="50">
        <v>11110.3538596491</v>
      </c>
      <c r="M51" s="50">
        <v>115</v>
      </c>
      <c r="N51" s="37">
        <v>18</v>
      </c>
      <c r="O51" s="15">
        <f t="shared" si="2"/>
        <v>10060.090257058457</v>
      </c>
      <c r="P51" s="15">
        <f t="shared" si="0"/>
        <v>1156910.3795617225</v>
      </c>
      <c r="Q51" s="15">
        <f t="shared" si="1"/>
        <v>1277690.6938596466</v>
      </c>
    </row>
    <row r="52" spans="1:17" ht="12.75">
      <c r="A52" t="s">
        <v>137</v>
      </c>
      <c r="D52" s="15">
        <f>D51/93</f>
        <v>8545.591634264707</v>
      </c>
      <c r="J52" s="50">
        <v>1239</v>
      </c>
      <c r="K52" s="51" t="s">
        <v>125</v>
      </c>
      <c r="L52" s="50">
        <v>10797.2339375</v>
      </c>
      <c r="M52" s="50">
        <v>58</v>
      </c>
      <c r="N52" s="37">
        <v>3</v>
      </c>
      <c r="O52" s="15">
        <f t="shared" si="2"/>
        <v>10060.090257058457</v>
      </c>
      <c r="P52" s="15">
        <f t="shared" si="0"/>
        <v>583485.2349093904</v>
      </c>
      <c r="Q52" s="15">
        <f t="shared" si="1"/>
        <v>626239.5683749999</v>
      </c>
    </row>
    <row r="53" spans="1:17" ht="12.75">
      <c r="A53" t="s">
        <v>138</v>
      </c>
      <c r="D53" s="15">
        <v>1514.4986227937495</v>
      </c>
      <c r="J53" s="50">
        <v>1610</v>
      </c>
      <c r="K53" s="51" t="s">
        <v>125</v>
      </c>
      <c r="L53" s="50">
        <v>7433.45951327433</v>
      </c>
      <c r="M53" s="50">
        <v>82</v>
      </c>
      <c r="N53" s="37">
        <v>19</v>
      </c>
      <c r="O53" s="15">
        <f t="shared" si="2"/>
        <v>10060.090257058457</v>
      </c>
      <c r="P53" s="15">
        <f t="shared" si="0"/>
        <v>824927.4010787935</v>
      </c>
      <c r="Q53" s="15">
        <f t="shared" si="1"/>
        <v>609543.680088495</v>
      </c>
    </row>
    <row r="54" spans="1:17" ht="12.75">
      <c r="A54" t="s">
        <v>135</v>
      </c>
      <c r="D54" s="15">
        <f>SUM(D52:D53)</f>
        <v>10060.090257058457</v>
      </c>
      <c r="J54" s="50">
        <v>1666</v>
      </c>
      <c r="K54" s="51" t="s">
        <v>125</v>
      </c>
      <c r="L54" s="50">
        <v>11521.8222619048</v>
      </c>
      <c r="M54" s="50">
        <v>91</v>
      </c>
      <c r="N54" s="37">
        <v>7</v>
      </c>
      <c r="O54" s="15">
        <f t="shared" si="2"/>
        <v>10060.090257058457</v>
      </c>
      <c r="P54" s="15">
        <f t="shared" si="0"/>
        <v>915468.2133923195</v>
      </c>
      <c r="Q54" s="15">
        <f t="shared" si="1"/>
        <v>1048485.8258333367</v>
      </c>
    </row>
    <row r="55" spans="1:16" ht="12.75">
      <c r="A55" t="s">
        <v>136</v>
      </c>
      <c r="D55" s="15">
        <f>+'Additional Costs'!C16</f>
        <v>1656.4083362681247</v>
      </c>
      <c r="M55">
        <f>SUM(M2:M54)</f>
        <v>4715</v>
      </c>
      <c r="N55" s="15">
        <f>SUM(N2:N54)</f>
        <v>524</v>
      </c>
      <c r="P55" s="15">
        <f>SUM(P2:P54)</f>
        <v>47433325.56203063</v>
      </c>
    </row>
    <row r="56" spans="1:16" ht="12.75">
      <c r="A56" t="s">
        <v>208</v>
      </c>
      <c r="D56" s="15">
        <f>+'Additional Costs'!C25</f>
        <v>10465.543239084998</v>
      </c>
      <c r="K56" s="105" t="s">
        <v>140</v>
      </c>
      <c r="L56" s="106"/>
      <c r="M56" s="107"/>
      <c r="N56" s="15">
        <v>1656.4083362681247</v>
      </c>
      <c r="P56" s="15">
        <f>P55+N59</f>
        <v>53785228.18751566</v>
      </c>
    </row>
    <row r="57" spans="1:14" ht="12.75">
      <c r="A57" t="s">
        <v>209</v>
      </c>
      <c r="D57" s="15">
        <f>+D56+D55</f>
        <v>12121.951575353123</v>
      </c>
      <c r="K57" s="105" t="s">
        <v>141</v>
      </c>
      <c r="L57" s="106"/>
      <c r="M57" s="107"/>
      <c r="N57" s="15">
        <v>10465.543239084998</v>
      </c>
    </row>
    <row r="58" spans="11:14" ht="12.75">
      <c r="K58" s="105" t="s">
        <v>142</v>
      </c>
      <c r="L58" s="106"/>
      <c r="M58" s="107"/>
      <c r="N58" s="15">
        <f>SUM(N56:N57)</f>
        <v>12121.951575353123</v>
      </c>
    </row>
    <row r="59" spans="11:14" ht="12.75">
      <c r="K59" s="105" t="s">
        <v>143</v>
      </c>
      <c r="L59" s="106"/>
      <c r="M59" s="107"/>
      <c r="N59" s="37">
        <f>N55*N58</f>
        <v>6351902.6254850365</v>
      </c>
    </row>
  </sheetData>
  <mergeCells count="4">
    <mergeCell ref="K56:M56"/>
    <mergeCell ref="K57:M57"/>
    <mergeCell ref="K58:M58"/>
    <mergeCell ref="K59:M59"/>
  </mergeCells>
  <printOptions gridLines="1"/>
  <pageMargins left="0.75" right="0.75" top="1" bottom="1" header="0.5" footer="0.5"/>
  <pageSetup fitToHeight="1" fitToWidth="1" horizontalDpi="300" verticalDpi="3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7"/>
  <sheetViews>
    <sheetView workbookViewId="0" topLeftCell="A1">
      <selection activeCell="I42" sqref="I42"/>
    </sheetView>
  </sheetViews>
  <sheetFormatPr defaultColWidth="9.140625" defaultRowHeight="12.75"/>
  <cols>
    <col min="1" max="1" width="20.140625" style="0" customWidth="1"/>
    <col min="3" max="3" width="10.28125" style="15" bestFit="1" customWidth="1"/>
    <col min="4" max="4" width="12.8515625" style="15" bestFit="1" customWidth="1"/>
    <col min="9" max="9" width="10.7109375" style="0" customWidth="1"/>
    <col min="14" max="14" width="14.00390625" style="0" bestFit="1" customWidth="1"/>
    <col min="16" max="16" width="15.00390625" style="15" bestFit="1" customWidth="1"/>
    <col min="17" max="17" width="12.8515625" style="15" bestFit="1" customWidth="1"/>
  </cols>
  <sheetData>
    <row r="1" spans="1:18" ht="53.25">
      <c r="A1" s="1" t="s">
        <v>38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45</v>
      </c>
      <c r="J2" s="52">
        <v>46</v>
      </c>
      <c r="K2" s="53" t="s">
        <v>119</v>
      </c>
      <c r="L2" s="37">
        <v>7124.84110655737</v>
      </c>
      <c r="M2" s="52">
        <v>168</v>
      </c>
      <c r="N2" s="52">
        <v>12</v>
      </c>
      <c r="O2" s="15">
        <f>+$D$56</f>
        <v>8002.400699748448</v>
      </c>
      <c r="P2" s="15">
        <f aca="true" t="shared" si="0" ref="P2:P65">M2*O2</f>
        <v>1344403.317557739</v>
      </c>
      <c r="Q2" s="15">
        <f aca="true" t="shared" si="1" ref="Q2:Q65">L2*M2</f>
        <v>1196973.3059016382</v>
      </c>
    </row>
    <row r="3" spans="1:17" ht="12.75">
      <c r="A3" t="s">
        <v>53</v>
      </c>
      <c r="B3">
        <f>COUNT(M2:M90)</f>
        <v>89</v>
      </c>
      <c r="G3" t="s">
        <v>9</v>
      </c>
      <c r="J3" s="52">
        <v>87</v>
      </c>
      <c r="K3" s="53" t="s">
        <v>119</v>
      </c>
      <c r="L3" s="37">
        <v>5774.61742424242</v>
      </c>
      <c r="M3" s="52">
        <v>197</v>
      </c>
      <c r="N3" s="52">
        <v>18</v>
      </c>
      <c r="O3" s="15">
        <f aca="true" t="shared" si="2" ref="O3:O66">+$D$56</f>
        <v>8002.400699748448</v>
      </c>
      <c r="P3" s="15">
        <f t="shared" si="0"/>
        <v>1576472.937850444</v>
      </c>
      <c r="Q3" s="15">
        <f t="shared" si="1"/>
        <v>1137599.6325757569</v>
      </c>
    </row>
    <row r="4" spans="10:17" ht="12.75">
      <c r="J4" s="52">
        <v>147</v>
      </c>
      <c r="K4" s="53" t="s">
        <v>119</v>
      </c>
      <c r="L4" s="37">
        <v>5885.1505715433</v>
      </c>
      <c r="M4" s="52">
        <v>295</v>
      </c>
      <c r="N4" s="52">
        <v>36</v>
      </c>
      <c r="O4" s="15">
        <f t="shared" si="2"/>
        <v>8002.400699748448</v>
      </c>
      <c r="P4" s="15">
        <f t="shared" si="0"/>
        <v>2360708.206425792</v>
      </c>
      <c r="Q4" s="15">
        <f t="shared" si="1"/>
        <v>1736119.4186052736</v>
      </c>
    </row>
    <row r="5" spans="1:17" ht="12.75">
      <c r="A5" t="s">
        <v>5</v>
      </c>
      <c r="B5">
        <v>238</v>
      </c>
      <c r="G5">
        <v>310</v>
      </c>
      <c r="J5" s="52">
        <v>149</v>
      </c>
      <c r="K5" s="53" t="s">
        <v>119</v>
      </c>
      <c r="L5" s="37">
        <v>5885.1505715433</v>
      </c>
      <c r="M5" s="52">
        <v>286</v>
      </c>
      <c r="N5" s="52">
        <v>34</v>
      </c>
      <c r="O5" s="15">
        <f t="shared" si="2"/>
        <v>8002.400699748448</v>
      </c>
      <c r="P5" s="15">
        <f t="shared" si="0"/>
        <v>2288686.600128056</v>
      </c>
      <c r="Q5" s="15">
        <f t="shared" si="1"/>
        <v>1683153.063461384</v>
      </c>
    </row>
    <row r="6" spans="1:17" ht="12.75">
      <c r="A6" t="s">
        <v>6</v>
      </c>
      <c r="B6" s="3">
        <f>B5*E6</f>
        <v>105.434</v>
      </c>
      <c r="E6" s="4">
        <v>0.443</v>
      </c>
      <c r="G6">
        <v>37</v>
      </c>
      <c r="H6" s="4">
        <v>0.11935483870967742</v>
      </c>
      <c r="J6" s="52">
        <v>152</v>
      </c>
      <c r="K6" s="53" t="s">
        <v>119</v>
      </c>
      <c r="L6" s="37">
        <v>5885.1505715433</v>
      </c>
      <c r="M6" s="52">
        <v>270</v>
      </c>
      <c r="N6" s="52">
        <v>28</v>
      </c>
      <c r="O6" s="15">
        <f t="shared" si="2"/>
        <v>8002.400699748448</v>
      </c>
      <c r="P6" s="15">
        <f t="shared" si="0"/>
        <v>2160648.1889320808</v>
      </c>
      <c r="Q6" s="15">
        <f t="shared" si="1"/>
        <v>1588990.6543166912</v>
      </c>
    </row>
    <row r="7" spans="1:17" ht="12.75">
      <c r="A7" t="s">
        <v>7</v>
      </c>
      <c r="B7" s="3">
        <f>B5*E7</f>
        <v>41.888</v>
      </c>
      <c r="E7" s="4">
        <v>0.176</v>
      </c>
      <c r="G7">
        <v>109</v>
      </c>
      <c r="H7" s="4">
        <v>0.35161290322580646</v>
      </c>
      <c r="J7" s="52">
        <v>154</v>
      </c>
      <c r="K7" s="53" t="s">
        <v>119</v>
      </c>
      <c r="L7" s="37">
        <v>5885.1505715433</v>
      </c>
      <c r="M7" s="52">
        <v>196</v>
      </c>
      <c r="N7" s="52">
        <v>16</v>
      </c>
      <c r="O7" s="15">
        <f t="shared" si="2"/>
        <v>8002.400699748448</v>
      </c>
      <c r="P7" s="15">
        <f t="shared" si="0"/>
        <v>1568470.5371506957</v>
      </c>
      <c r="Q7" s="15">
        <f t="shared" si="1"/>
        <v>1153489.512022487</v>
      </c>
    </row>
    <row r="8" spans="1:17" ht="12.75">
      <c r="A8" t="s">
        <v>8</v>
      </c>
      <c r="B8" s="3">
        <f>B5*E8</f>
        <v>29.75</v>
      </c>
      <c r="E8" s="4">
        <v>0.125</v>
      </c>
      <c r="G8">
        <v>50</v>
      </c>
      <c r="H8" s="4">
        <v>0.16129032258064516</v>
      </c>
      <c r="J8" s="52">
        <v>158</v>
      </c>
      <c r="K8" s="53" t="s">
        <v>119</v>
      </c>
      <c r="L8" s="37">
        <v>6129.35653386454</v>
      </c>
      <c r="M8" s="52">
        <v>170</v>
      </c>
      <c r="N8" s="52">
        <v>22</v>
      </c>
      <c r="O8" s="15">
        <f t="shared" si="2"/>
        <v>8002.400699748448</v>
      </c>
      <c r="P8" s="15">
        <f t="shared" si="0"/>
        <v>1360408.1189572362</v>
      </c>
      <c r="Q8" s="15">
        <f t="shared" si="1"/>
        <v>1041990.6107569719</v>
      </c>
    </row>
    <row r="9" spans="5:17" ht="12.75">
      <c r="E9" s="4"/>
      <c r="H9" s="4"/>
      <c r="J9" s="52">
        <v>190</v>
      </c>
      <c r="K9" s="53" t="s">
        <v>119</v>
      </c>
      <c r="L9" s="37">
        <v>6891.01074418605</v>
      </c>
      <c r="M9" s="52">
        <v>160</v>
      </c>
      <c r="N9" s="52">
        <v>8</v>
      </c>
      <c r="O9" s="15">
        <f t="shared" si="2"/>
        <v>8002.400699748448</v>
      </c>
      <c r="P9" s="15">
        <f t="shared" si="0"/>
        <v>1280384.1119597517</v>
      </c>
      <c r="Q9" s="15">
        <f t="shared" si="1"/>
        <v>1102561.719069768</v>
      </c>
    </row>
    <row r="10" spans="1:17" ht="12.75">
      <c r="A10" t="s">
        <v>18</v>
      </c>
      <c r="B10">
        <v>16</v>
      </c>
      <c r="C10" s="15">
        <v>42914.98927153859</v>
      </c>
      <c r="D10" s="15">
        <f>B10*C10</f>
        <v>686639.8283446174</v>
      </c>
      <c r="E10" s="3">
        <f>B$5/B10</f>
        <v>14.875</v>
      </c>
      <c r="J10" s="52">
        <v>236</v>
      </c>
      <c r="K10" s="53" t="s">
        <v>119</v>
      </c>
      <c r="L10" s="37">
        <v>6004.59184560781</v>
      </c>
      <c r="M10" s="52">
        <v>227</v>
      </c>
      <c r="N10" s="52">
        <v>23</v>
      </c>
      <c r="O10" s="15">
        <f t="shared" si="2"/>
        <v>8002.400699748448</v>
      </c>
      <c r="P10" s="15">
        <f t="shared" si="0"/>
        <v>1816544.9588428976</v>
      </c>
      <c r="Q10" s="15">
        <f t="shared" si="1"/>
        <v>1363042.3489529728</v>
      </c>
    </row>
    <row r="11" spans="1:17" ht="12.75">
      <c r="A11" t="s">
        <v>15</v>
      </c>
      <c r="B11">
        <v>4</v>
      </c>
      <c r="C11" s="15">
        <v>42914.98927153859</v>
      </c>
      <c r="D11" s="15">
        <f>B11*C11</f>
        <v>171659.95708615435</v>
      </c>
      <c r="E11" s="3">
        <f>B$5/B11</f>
        <v>59.5</v>
      </c>
      <c r="G11">
        <v>16</v>
      </c>
      <c r="H11" s="5">
        <v>19.375</v>
      </c>
      <c r="J11" s="52">
        <v>280</v>
      </c>
      <c r="K11" s="53" t="s">
        <v>119</v>
      </c>
      <c r="L11" s="37">
        <v>6497.14171779141</v>
      </c>
      <c r="M11" s="52">
        <v>211</v>
      </c>
      <c r="N11" s="52">
        <v>23</v>
      </c>
      <c r="O11" s="15">
        <f t="shared" si="2"/>
        <v>8002.400699748448</v>
      </c>
      <c r="P11" s="15">
        <f t="shared" si="0"/>
        <v>1688506.5476469225</v>
      </c>
      <c r="Q11" s="15">
        <f t="shared" si="1"/>
        <v>1370896.9024539874</v>
      </c>
    </row>
    <row r="12" spans="1:17" ht="12.75">
      <c r="A12" t="s">
        <v>16</v>
      </c>
      <c r="B12">
        <f>SUM(B10:B11)</f>
        <v>20</v>
      </c>
      <c r="E12" s="3">
        <f>B$5/B12</f>
        <v>11.9</v>
      </c>
      <c r="G12">
        <v>3</v>
      </c>
      <c r="H12" s="5">
        <v>103.33333333333333</v>
      </c>
      <c r="J12" s="52">
        <v>281</v>
      </c>
      <c r="K12" s="53" t="s">
        <v>119</v>
      </c>
      <c r="L12" s="37">
        <v>6497.14171779141</v>
      </c>
      <c r="M12" s="52">
        <v>191</v>
      </c>
      <c r="N12" s="52">
        <v>44</v>
      </c>
      <c r="O12" s="15">
        <f t="shared" si="2"/>
        <v>8002.400699748448</v>
      </c>
      <c r="P12" s="15">
        <f t="shared" si="0"/>
        <v>1528458.5336519536</v>
      </c>
      <c r="Q12" s="15">
        <f t="shared" si="1"/>
        <v>1240954.0680981593</v>
      </c>
    </row>
    <row r="13" spans="7:17" ht="12.75">
      <c r="G13">
        <f>SUM(G11:G12)</f>
        <v>19</v>
      </c>
      <c r="H13">
        <f>G5/G13</f>
        <v>16.31578947368421</v>
      </c>
      <c r="J13" s="52">
        <v>321</v>
      </c>
      <c r="K13" s="53" t="s">
        <v>119</v>
      </c>
      <c r="L13" s="37">
        <v>6554.38109375</v>
      </c>
      <c r="M13" s="52">
        <v>207</v>
      </c>
      <c r="N13" s="52">
        <v>26</v>
      </c>
      <c r="O13" s="15">
        <f t="shared" si="2"/>
        <v>8002.400699748448</v>
      </c>
      <c r="P13" s="15">
        <f t="shared" si="0"/>
        <v>1656496.9448479286</v>
      </c>
      <c r="Q13" s="15">
        <f t="shared" si="1"/>
        <v>1356756.88640625</v>
      </c>
    </row>
    <row r="14" spans="8:17" ht="12.75">
      <c r="H14" s="5"/>
      <c r="J14" s="52">
        <v>322</v>
      </c>
      <c r="K14" s="53" t="s">
        <v>119</v>
      </c>
      <c r="L14" s="37">
        <v>6554.38109375</v>
      </c>
      <c r="M14" s="52">
        <v>245</v>
      </c>
      <c r="N14" s="52">
        <v>38</v>
      </c>
      <c r="O14" s="15">
        <f t="shared" si="2"/>
        <v>8002.400699748448</v>
      </c>
      <c r="P14" s="15">
        <f t="shared" si="0"/>
        <v>1960588.1714383697</v>
      </c>
      <c r="Q14" s="15">
        <f t="shared" si="1"/>
        <v>1605823.36796875</v>
      </c>
    </row>
    <row r="15" spans="1:17" ht="12.75">
      <c r="A15" t="s">
        <v>17</v>
      </c>
      <c r="B15">
        <v>3</v>
      </c>
      <c r="C15" s="15">
        <v>20738.494724169057</v>
      </c>
      <c r="D15" s="15">
        <f>B15*C15</f>
        <v>62215.484172507175</v>
      </c>
      <c r="E15" s="3">
        <f>B$5/B15</f>
        <v>79.33333333333333</v>
      </c>
      <c r="G15">
        <v>3</v>
      </c>
      <c r="H15">
        <v>90</v>
      </c>
      <c r="J15" s="52">
        <v>355</v>
      </c>
      <c r="K15" s="53" t="s">
        <v>119</v>
      </c>
      <c r="L15" s="37">
        <v>5860.61829042225</v>
      </c>
      <c r="M15" s="52">
        <v>273</v>
      </c>
      <c r="N15" s="52">
        <v>29</v>
      </c>
      <c r="O15" s="15">
        <f t="shared" si="2"/>
        <v>8002.400699748448</v>
      </c>
      <c r="P15" s="15">
        <f t="shared" si="0"/>
        <v>2184655.3910313263</v>
      </c>
      <c r="Q15" s="15">
        <f t="shared" si="1"/>
        <v>1599948.7932852742</v>
      </c>
    </row>
    <row r="16" spans="8:17" ht="12.75">
      <c r="H16" s="5"/>
      <c r="J16" s="52">
        <v>356</v>
      </c>
      <c r="K16" s="53" t="s">
        <v>119</v>
      </c>
      <c r="L16" s="37">
        <v>5860.61829042225</v>
      </c>
      <c r="M16" s="52">
        <v>215</v>
      </c>
      <c r="N16" s="52">
        <v>34</v>
      </c>
      <c r="O16" s="15">
        <f t="shared" si="2"/>
        <v>8002.400699748448</v>
      </c>
      <c r="P16" s="15">
        <f t="shared" si="0"/>
        <v>1720516.1504459162</v>
      </c>
      <c r="Q16" s="15">
        <f t="shared" si="1"/>
        <v>1260032.9324407836</v>
      </c>
    </row>
    <row r="17" spans="1:17" ht="12.75">
      <c r="A17" t="s">
        <v>19</v>
      </c>
      <c r="B17">
        <v>2</v>
      </c>
      <c r="C17" s="15">
        <v>42914.98927153859</v>
      </c>
      <c r="D17" s="15">
        <f>B17*C17</f>
        <v>85829.97854307717</v>
      </c>
      <c r="E17" s="3">
        <f>B$8/B17</f>
        <v>14.875</v>
      </c>
      <c r="G17">
        <v>2</v>
      </c>
      <c r="H17" s="5">
        <v>18.5</v>
      </c>
      <c r="J17" s="52">
        <v>357</v>
      </c>
      <c r="K17" s="53" t="s">
        <v>119</v>
      </c>
      <c r="L17" s="37">
        <v>5860.61829042225</v>
      </c>
      <c r="M17" s="52">
        <v>189</v>
      </c>
      <c r="N17" s="52">
        <v>19</v>
      </c>
      <c r="O17" s="15">
        <f t="shared" si="2"/>
        <v>8002.400699748448</v>
      </c>
      <c r="P17" s="15">
        <f t="shared" si="0"/>
        <v>1512453.7322524565</v>
      </c>
      <c r="Q17" s="15">
        <f t="shared" si="1"/>
        <v>1107656.8568898053</v>
      </c>
    </row>
    <row r="18" spans="1:17" ht="12.75">
      <c r="A18" t="s">
        <v>16</v>
      </c>
      <c r="G18">
        <v>0</v>
      </c>
      <c r="H18" s="5">
        <v>0</v>
      </c>
      <c r="J18" s="52">
        <v>432</v>
      </c>
      <c r="K18" s="53" t="s">
        <v>119</v>
      </c>
      <c r="L18" s="37">
        <v>5406.6629245283</v>
      </c>
      <c r="M18" s="52">
        <v>160</v>
      </c>
      <c r="N18" s="52">
        <v>5</v>
      </c>
      <c r="O18" s="15">
        <f t="shared" si="2"/>
        <v>8002.400699748448</v>
      </c>
      <c r="P18" s="15">
        <f t="shared" si="0"/>
        <v>1280384.1119597517</v>
      </c>
      <c r="Q18" s="15">
        <f t="shared" si="1"/>
        <v>865066.067924528</v>
      </c>
    </row>
    <row r="19" spans="1:17" ht="12.75">
      <c r="A19" t="s">
        <v>17</v>
      </c>
      <c r="B19">
        <v>5</v>
      </c>
      <c r="C19" s="15">
        <v>20738.494724169057</v>
      </c>
      <c r="D19" s="15">
        <f>B19*C19</f>
        <v>103692.47362084528</v>
      </c>
      <c r="E19" s="3">
        <f>B$8/B19</f>
        <v>5.95</v>
      </c>
      <c r="G19">
        <v>2</v>
      </c>
      <c r="H19" s="5">
        <v>18.5</v>
      </c>
      <c r="J19" s="52">
        <v>464</v>
      </c>
      <c r="K19" s="53" t="s">
        <v>119</v>
      </c>
      <c r="L19" s="37">
        <v>6092.21478658536</v>
      </c>
      <c r="M19" s="52">
        <v>264</v>
      </c>
      <c r="N19" s="52">
        <v>22</v>
      </c>
      <c r="O19" s="15">
        <f t="shared" si="2"/>
        <v>8002.400699748448</v>
      </c>
      <c r="P19" s="15">
        <f t="shared" si="0"/>
        <v>2112633.78473359</v>
      </c>
      <c r="Q19" s="15">
        <f t="shared" si="1"/>
        <v>1608344.7036585351</v>
      </c>
    </row>
    <row r="20" spans="8:17" ht="12.75">
      <c r="H20" s="5"/>
      <c r="J20" s="52">
        <v>468</v>
      </c>
      <c r="K20" s="53" t="s">
        <v>119</v>
      </c>
      <c r="L20" s="37">
        <v>6662.84463933415</v>
      </c>
      <c r="M20" s="52">
        <v>278</v>
      </c>
      <c r="N20" s="52">
        <v>22</v>
      </c>
      <c r="O20" s="15">
        <f t="shared" si="2"/>
        <v>8002.400699748448</v>
      </c>
      <c r="P20" s="15">
        <f t="shared" si="0"/>
        <v>2224667.3945300686</v>
      </c>
      <c r="Q20" s="15">
        <f t="shared" si="1"/>
        <v>1852270.8097348937</v>
      </c>
    </row>
    <row r="21" spans="8:17" ht="12.75">
      <c r="H21" s="5"/>
      <c r="J21" s="52">
        <v>469</v>
      </c>
      <c r="K21" s="53" t="s">
        <v>119</v>
      </c>
      <c r="L21" s="37">
        <v>6662.84463933415</v>
      </c>
      <c r="M21" s="52">
        <v>291</v>
      </c>
      <c r="N21" s="52">
        <v>22</v>
      </c>
      <c r="O21" s="15">
        <f t="shared" si="2"/>
        <v>8002.400699748448</v>
      </c>
      <c r="P21" s="15">
        <f t="shared" si="0"/>
        <v>2328698.6036267984</v>
      </c>
      <c r="Q21" s="15">
        <f t="shared" si="1"/>
        <v>1938887.7900462376</v>
      </c>
    </row>
    <row r="22" spans="1:17" ht="12.75">
      <c r="A22" t="s">
        <v>20</v>
      </c>
      <c r="H22" s="5"/>
      <c r="J22" s="52">
        <v>471</v>
      </c>
      <c r="K22" s="53" t="s">
        <v>119</v>
      </c>
      <c r="L22" s="37">
        <v>6662.84463933415</v>
      </c>
      <c r="M22" s="52">
        <v>219</v>
      </c>
      <c r="N22" s="52">
        <v>44</v>
      </c>
      <c r="O22" s="15">
        <f t="shared" si="2"/>
        <v>8002.400699748448</v>
      </c>
      <c r="P22" s="15">
        <f t="shared" si="0"/>
        <v>1752525.75324491</v>
      </c>
      <c r="Q22" s="15">
        <f t="shared" si="1"/>
        <v>1459162.976014179</v>
      </c>
    </row>
    <row r="23" spans="1:17" ht="12.75">
      <c r="A23" t="s">
        <v>11</v>
      </c>
      <c r="B23">
        <v>1</v>
      </c>
      <c r="C23" s="15">
        <v>46319.211226175925</v>
      </c>
      <c r="D23" s="15">
        <f>B23*C23</f>
        <v>46319.211226175925</v>
      </c>
      <c r="E23" s="3">
        <f>B$5/B23</f>
        <v>238</v>
      </c>
      <c r="G23">
        <v>1</v>
      </c>
      <c r="H23" s="5">
        <v>310</v>
      </c>
      <c r="J23" s="52">
        <v>482</v>
      </c>
      <c r="K23" s="53" t="s">
        <v>119</v>
      </c>
      <c r="L23" s="37">
        <v>5453.36385416666</v>
      </c>
      <c r="M23" s="52">
        <v>270</v>
      </c>
      <c r="N23" s="52">
        <v>9</v>
      </c>
      <c r="O23" s="15">
        <f t="shared" si="2"/>
        <v>8002.400699748448</v>
      </c>
      <c r="P23" s="15">
        <f t="shared" si="0"/>
        <v>2160648.1889320808</v>
      </c>
      <c r="Q23" s="15">
        <f t="shared" si="1"/>
        <v>1472408.240624998</v>
      </c>
    </row>
    <row r="24" spans="1:17" ht="12.75">
      <c r="A24" t="s">
        <v>61</v>
      </c>
      <c r="B24">
        <v>0.5</v>
      </c>
      <c r="C24" s="15">
        <v>37487.41846994718</v>
      </c>
      <c r="D24" s="15">
        <f>B24*C24</f>
        <v>18743.70923497359</v>
      </c>
      <c r="E24" s="3">
        <f>B$5/B24</f>
        <v>476</v>
      </c>
      <c r="G24">
        <v>0.33</v>
      </c>
      <c r="H24" s="5">
        <v>939.3939393939394</v>
      </c>
      <c r="J24" s="52">
        <v>572</v>
      </c>
      <c r="K24" s="53" t="s">
        <v>119</v>
      </c>
      <c r="L24" s="37">
        <v>6085.85235071807</v>
      </c>
      <c r="M24" s="52">
        <v>255</v>
      </c>
      <c r="N24" s="52">
        <v>47</v>
      </c>
      <c r="O24" s="15">
        <f t="shared" si="2"/>
        <v>8002.400699748448</v>
      </c>
      <c r="P24" s="15">
        <f t="shared" si="0"/>
        <v>2040612.1784358541</v>
      </c>
      <c r="Q24" s="15">
        <f t="shared" si="1"/>
        <v>1551892.3494331078</v>
      </c>
    </row>
    <row r="25" spans="1:17" ht="12.75">
      <c r="A25" t="s">
        <v>21</v>
      </c>
      <c r="B25">
        <v>0.1</v>
      </c>
      <c r="C25" s="15">
        <v>46396.4268055664</v>
      </c>
      <c r="D25" s="15">
        <f>B25*C25</f>
        <v>4639.64268055664</v>
      </c>
      <c r="E25" s="3">
        <f>B$5/B25</f>
        <v>2380</v>
      </c>
      <c r="G25">
        <v>0.1</v>
      </c>
      <c r="H25" s="5">
        <v>3100</v>
      </c>
      <c r="J25" s="52">
        <v>574</v>
      </c>
      <c r="K25" s="53" t="s">
        <v>119</v>
      </c>
      <c r="L25" s="37">
        <v>6085.85235071807</v>
      </c>
      <c r="M25" s="52">
        <v>294</v>
      </c>
      <c r="N25" s="52">
        <v>21</v>
      </c>
      <c r="O25" s="15">
        <f t="shared" si="2"/>
        <v>8002.400699748448</v>
      </c>
      <c r="P25" s="15">
        <f t="shared" si="0"/>
        <v>2352705.8057260434</v>
      </c>
      <c r="Q25" s="15">
        <f t="shared" si="1"/>
        <v>1789240.5911111126</v>
      </c>
    </row>
    <row r="26" spans="8:17" ht="12.75">
      <c r="H26" s="5"/>
      <c r="J26" s="52">
        <v>577</v>
      </c>
      <c r="K26" s="53" t="s">
        <v>119</v>
      </c>
      <c r="L26" s="37">
        <v>6085.85235071807</v>
      </c>
      <c r="M26" s="52">
        <v>257</v>
      </c>
      <c r="N26" s="52">
        <v>33</v>
      </c>
      <c r="O26" s="15">
        <f t="shared" si="2"/>
        <v>8002.400699748448</v>
      </c>
      <c r="P26" s="15">
        <f t="shared" si="0"/>
        <v>2056616.979835351</v>
      </c>
      <c r="Q26" s="15">
        <f t="shared" si="1"/>
        <v>1564064.054134544</v>
      </c>
    </row>
    <row r="27" spans="8:17" ht="12.75">
      <c r="H27" s="5"/>
      <c r="J27" s="52">
        <v>606</v>
      </c>
      <c r="K27" s="53" t="s">
        <v>119</v>
      </c>
      <c r="L27" s="37">
        <v>6689.07639455782</v>
      </c>
      <c r="M27" s="52">
        <v>228</v>
      </c>
      <c r="N27" s="52">
        <v>11</v>
      </c>
      <c r="O27" s="15">
        <f t="shared" si="2"/>
        <v>8002.400699748448</v>
      </c>
      <c r="P27" s="15">
        <f t="shared" si="0"/>
        <v>1824547.359542646</v>
      </c>
      <c r="Q27" s="15">
        <f t="shared" si="1"/>
        <v>1525109.417959183</v>
      </c>
    </row>
    <row r="28" spans="1:17" ht="12.75">
      <c r="A28" t="s">
        <v>19</v>
      </c>
      <c r="H28" s="5"/>
      <c r="J28" s="52">
        <v>607</v>
      </c>
      <c r="K28" s="53" t="s">
        <v>119</v>
      </c>
      <c r="L28" s="37">
        <v>5311.47910447761</v>
      </c>
      <c r="M28" s="52">
        <v>217</v>
      </c>
      <c r="N28" s="52">
        <v>34</v>
      </c>
      <c r="O28" s="15">
        <f t="shared" si="2"/>
        <v>8002.400699748448</v>
      </c>
      <c r="P28" s="15">
        <f t="shared" si="0"/>
        <v>1736520.951845413</v>
      </c>
      <c r="Q28" s="15">
        <f t="shared" si="1"/>
        <v>1152590.9656716415</v>
      </c>
    </row>
    <row r="29" spans="1:17" ht="12.75">
      <c r="A29" s="6" t="s">
        <v>22</v>
      </c>
      <c r="B29">
        <v>0.23</v>
      </c>
      <c r="C29" s="15">
        <v>46396.4268055664</v>
      </c>
      <c r="D29" s="15">
        <f>B29*C29</f>
        <v>10671.178165280273</v>
      </c>
      <c r="E29" s="3">
        <f>B$8/B29</f>
        <v>129.3478260869565</v>
      </c>
      <c r="G29">
        <v>0.23</v>
      </c>
      <c r="H29" s="5">
        <v>160.86956521739128</v>
      </c>
      <c r="J29" s="52">
        <v>610</v>
      </c>
      <c r="K29" s="53" t="s">
        <v>119</v>
      </c>
      <c r="L29" s="37">
        <v>8454.34387254902</v>
      </c>
      <c r="M29" s="52">
        <v>152</v>
      </c>
      <c r="N29" s="52">
        <v>19</v>
      </c>
      <c r="O29" s="15">
        <f t="shared" si="2"/>
        <v>8002.400699748448</v>
      </c>
      <c r="P29" s="15">
        <f t="shared" si="0"/>
        <v>1216364.906361764</v>
      </c>
      <c r="Q29" s="15">
        <f t="shared" si="1"/>
        <v>1285060.268627451</v>
      </c>
    </row>
    <row r="30" spans="1:17" ht="12.75">
      <c r="A30" t="s">
        <v>23</v>
      </c>
      <c r="B30">
        <v>0.5</v>
      </c>
      <c r="C30" s="15">
        <v>48090.39947775422</v>
      </c>
      <c r="D30" s="15">
        <f>B30*C30</f>
        <v>24045.19973887711</v>
      </c>
      <c r="E30" s="3">
        <f>B$8/B30</f>
        <v>59.5</v>
      </c>
      <c r="H30" s="5"/>
      <c r="J30" s="52">
        <v>614</v>
      </c>
      <c r="K30" s="53" t="s">
        <v>119</v>
      </c>
      <c r="L30" s="37">
        <v>6177.32206214689</v>
      </c>
      <c r="M30" s="52">
        <v>228</v>
      </c>
      <c r="N30" s="52">
        <v>17</v>
      </c>
      <c r="O30" s="15">
        <f t="shared" si="2"/>
        <v>8002.400699748448</v>
      </c>
      <c r="P30" s="15">
        <f t="shared" si="0"/>
        <v>1824547.359542646</v>
      </c>
      <c r="Q30" s="15">
        <f t="shared" si="1"/>
        <v>1408429.4301694909</v>
      </c>
    </row>
    <row r="31" spans="8:17" ht="12.75">
      <c r="H31" s="5"/>
      <c r="J31" s="52">
        <v>632</v>
      </c>
      <c r="K31" s="53" t="s">
        <v>119</v>
      </c>
      <c r="L31" s="37">
        <v>7565.84328264759</v>
      </c>
      <c r="M31" s="52">
        <v>292</v>
      </c>
      <c r="N31" s="52">
        <v>28</v>
      </c>
      <c r="O31" s="15">
        <f t="shared" si="2"/>
        <v>8002.400699748448</v>
      </c>
      <c r="P31" s="15">
        <f t="shared" si="0"/>
        <v>2336701.0043265466</v>
      </c>
      <c r="Q31" s="15">
        <f t="shared" si="1"/>
        <v>2209226.2385330964</v>
      </c>
    </row>
    <row r="32" spans="8:17" ht="12.75">
      <c r="H32" s="5"/>
      <c r="J32" s="52">
        <v>635</v>
      </c>
      <c r="K32" s="53" t="s">
        <v>119</v>
      </c>
      <c r="L32" s="37">
        <v>5455.45373015873</v>
      </c>
      <c r="M32" s="52">
        <v>191</v>
      </c>
      <c r="N32" s="52">
        <v>15</v>
      </c>
      <c r="O32" s="15">
        <f t="shared" si="2"/>
        <v>8002.400699748448</v>
      </c>
      <c r="P32" s="15">
        <f t="shared" si="0"/>
        <v>1528458.5336519536</v>
      </c>
      <c r="Q32" s="15">
        <f t="shared" si="1"/>
        <v>1041991.6624603174</v>
      </c>
    </row>
    <row r="33" spans="8:17" ht="12.75">
      <c r="H33" s="5"/>
      <c r="J33" s="52">
        <v>651</v>
      </c>
      <c r="K33" s="53" t="s">
        <v>119</v>
      </c>
      <c r="L33" s="37">
        <v>6273.22698816924</v>
      </c>
      <c r="M33" s="52">
        <v>193</v>
      </c>
      <c r="N33" s="52">
        <v>12</v>
      </c>
      <c r="O33" s="15">
        <f t="shared" si="2"/>
        <v>8002.400699748448</v>
      </c>
      <c r="P33" s="15">
        <f t="shared" si="0"/>
        <v>1544463.3350514504</v>
      </c>
      <c r="Q33" s="15">
        <f t="shared" si="1"/>
        <v>1210732.8087166634</v>
      </c>
    </row>
    <row r="34" spans="8:17" ht="12.75">
      <c r="H34" s="5"/>
      <c r="J34" s="52">
        <v>654</v>
      </c>
      <c r="K34" s="53" t="s">
        <v>119</v>
      </c>
      <c r="L34" s="37">
        <v>6273.22698816924</v>
      </c>
      <c r="M34" s="52">
        <v>255</v>
      </c>
      <c r="N34" s="52">
        <v>37</v>
      </c>
      <c r="O34" s="15">
        <f t="shared" si="2"/>
        <v>8002.400699748448</v>
      </c>
      <c r="P34" s="15">
        <f t="shared" si="0"/>
        <v>2040612.1784358541</v>
      </c>
      <c r="Q34" s="15">
        <f t="shared" si="1"/>
        <v>1599672.8819831563</v>
      </c>
    </row>
    <row r="35" spans="1:17" ht="12.75">
      <c r="A35" t="s">
        <v>12</v>
      </c>
      <c r="H35" s="5"/>
      <c r="J35" s="52">
        <v>655</v>
      </c>
      <c r="K35" s="53" t="s">
        <v>119</v>
      </c>
      <c r="L35" s="37">
        <v>6273.22698816924</v>
      </c>
      <c r="M35" s="52">
        <v>252</v>
      </c>
      <c r="N35" s="52">
        <v>27</v>
      </c>
      <c r="O35" s="15">
        <f t="shared" si="2"/>
        <v>8002.400699748448</v>
      </c>
      <c r="P35" s="15">
        <f t="shared" si="0"/>
        <v>2016604.9763366089</v>
      </c>
      <c r="Q35" s="15">
        <f t="shared" si="1"/>
        <v>1580853.2010186485</v>
      </c>
    </row>
    <row r="36" spans="1:17" ht="12.75">
      <c r="A36" t="s">
        <v>24</v>
      </c>
      <c r="B36">
        <v>1</v>
      </c>
      <c r="C36" s="15">
        <v>41163.357056373745</v>
      </c>
      <c r="D36" s="15">
        <f>B36*C36</f>
        <v>41163.357056373745</v>
      </c>
      <c r="E36" s="3">
        <f>B$5/B36</f>
        <v>238</v>
      </c>
      <c r="G36">
        <v>1</v>
      </c>
      <c r="H36" s="5">
        <v>310</v>
      </c>
      <c r="J36" s="52">
        <v>656</v>
      </c>
      <c r="K36" s="53" t="s">
        <v>119</v>
      </c>
      <c r="L36" s="37">
        <v>6273.22698816924</v>
      </c>
      <c r="M36" s="52">
        <v>246</v>
      </c>
      <c r="N36" s="52">
        <v>20</v>
      </c>
      <c r="O36" s="15">
        <f t="shared" si="2"/>
        <v>8002.400699748448</v>
      </c>
      <c r="P36" s="15">
        <f t="shared" si="0"/>
        <v>1968590.572138118</v>
      </c>
      <c r="Q36" s="15">
        <f t="shared" si="1"/>
        <v>1543213.839089633</v>
      </c>
    </row>
    <row r="37" spans="1:17" ht="12.75">
      <c r="A37" t="s">
        <v>25</v>
      </c>
      <c r="B37">
        <v>1</v>
      </c>
      <c r="C37" s="15">
        <v>38216.04733492906</v>
      </c>
      <c r="D37" s="15">
        <f>B37*C37</f>
        <v>38216.04733492906</v>
      </c>
      <c r="E37" s="3">
        <f>B$5/B37</f>
        <v>238</v>
      </c>
      <c r="G37">
        <v>1</v>
      </c>
      <c r="H37" s="5">
        <v>310</v>
      </c>
      <c r="J37" s="52">
        <v>657</v>
      </c>
      <c r="K37" s="53" t="s">
        <v>119</v>
      </c>
      <c r="L37" s="37">
        <v>6273.22698816924</v>
      </c>
      <c r="M37" s="52">
        <v>237</v>
      </c>
      <c r="N37" s="52">
        <v>51</v>
      </c>
      <c r="O37" s="15">
        <f t="shared" si="2"/>
        <v>8002.400699748448</v>
      </c>
      <c r="P37" s="15">
        <f t="shared" si="0"/>
        <v>1896568.965840382</v>
      </c>
      <c r="Q37" s="15">
        <f t="shared" si="1"/>
        <v>1486754.7961961098</v>
      </c>
    </row>
    <row r="38" spans="1:17" ht="12.75">
      <c r="A38" t="s">
        <v>26</v>
      </c>
      <c r="C38" s="15">
        <f>2.2*14400</f>
        <v>31680.000000000004</v>
      </c>
      <c r="D38" s="15">
        <f>2.2*14400</f>
        <v>31680.000000000004</v>
      </c>
      <c r="G38" s="7">
        <v>18700</v>
      </c>
      <c r="H38" s="5" t="s">
        <v>10</v>
      </c>
      <c r="J38" s="52">
        <v>662</v>
      </c>
      <c r="K38" s="53" t="s">
        <v>119</v>
      </c>
      <c r="L38" s="37">
        <v>6273.22698816924</v>
      </c>
      <c r="M38" s="52">
        <v>218</v>
      </c>
      <c r="N38" s="52">
        <v>24</v>
      </c>
      <c r="O38" s="15">
        <f t="shared" si="2"/>
        <v>8002.400699748448</v>
      </c>
      <c r="P38" s="15">
        <f t="shared" si="0"/>
        <v>1744523.3525451615</v>
      </c>
      <c r="Q38" s="15">
        <f t="shared" si="1"/>
        <v>1367563.4834208942</v>
      </c>
    </row>
    <row r="39" spans="8:17" ht="12.75">
      <c r="H39" s="5"/>
      <c r="J39" s="52">
        <v>663</v>
      </c>
      <c r="K39" s="53" t="s">
        <v>119</v>
      </c>
      <c r="L39" s="37">
        <v>6273.22698816924</v>
      </c>
      <c r="M39" s="52">
        <v>281</v>
      </c>
      <c r="N39" s="52">
        <v>35</v>
      </c>
      <c r="O39" s="15">
        <f t="shared" si="2"/>
        <v>8002.400699748448</v>
      </c>
      <c r="P39" s="15">
        <f t="shared" si="0"/>
        <v>2248674.5966293137</v>
      </c>
      <c r="Q39" s="15">
        <f t="shared" si="1"/>
        <v>1762776.7836755565</v>
      </c>
    </row>
    <row r="40" spans="1:17" ht="12.75">
      <c r="A40" t="s">
        <v>27</v>
      </c>
      <c r="H40" s="5"/>
      <c r="J40" s="52">
        <v>696</v>
      </c>
      <c r="K40" s="53" t="s">
        <v>119</v>
      </c>
      <c r="L40" s="37">
        <v>7185.85875420876</v>
      </c>
      <c r="M40" s="52">
        <v>215</v>
      </c>
      <c r="N40" s="52">
        <v>74</v>
      </c>
      <c r="O40" s="15">
        <f t="shared" si="2"/>
        <v>8002.400699748448</v>
      </c>
      <c r="P40" s="15">
        <f t="shared" si="0"/>
        <v>1720516.1504459162</v>
      </c>
      <c r="Q40" s="15">
        <f t="shared" si="1"/>
        <v>1544959.6321548834</v>
      </c>
    </row>
    <row r="41" spans="1:17" ht="12.75">
      <c r="A41" t="s">
        <v>13</v>
      </c>
      <c r="B41">
        <v>1</v>
      </c>
      <c r="C41" s="15">
        <v>66157.3544068731</v>
      </c>
      <c r="D41" s="15">
        <f>B41*C41</f>
        <v>66157.3544068731</v>
      </c>
      <c r="E41" s="3">
        <f>B$5/B41</f>
        <v>238</v>
      </c>
      <c r="G41">
        <v>1</v>
      </c>
      <c r="H41" s="5">
        <v>310</v>
      </c>
      <c r="J41" s="52">
        <v>729</v>
      </c>
      <c r="K41" s="53" t="s">
        <v>119</v>
      </c>
      <c r="L41" s="37">
        <v>7848.82882681564</v>
      </c>
      <c r="M41" s="52">
        <v>179</v>
      </c>
      <c r="N41" s="52">
        <v>4</v>
      </c>
      <c r="O41" s="15">
        <f t="shared" si="2"/>
        <v>8002.400699748448</v>
      </c>
      <c r="P41" s="15">
        <f t="shared" si="0"/>
        <v>1432429.725254972</v>
      </c>
      <c r="Q41" s="15">
        <f t="shared" si="1"/>
        <v>1404940.3599999996</v>
      </c>
    </row>
    <row r="42" spans="1:17" ht="12.75">
      <c r="A42" t="s">
        <v>59</v>
      </c>
      <c r="G42">
        <v>0</v>
      </c>
      <c r="H42" s="5">
        <v>0</v>
      </c>
      <c r="J42" s="52">
        <v>758</v>
      </c>
      <c r="K42" s="53" t="s">
        <v>119</v>
      </c>
      <c r="L42" s="37">
        <v>6655.65009950249</v>
      </c>
      <c r="M42" s="52">
        <v>164</v>
      </c>
      <c r="N42" s="52">
        <v>13</v>
      </c>
      <c r="O42" s="15">
        <f t="shared" si="2"/>
        <v>8002.400699748448</v>
      </c>
      <c r="P42" s="15">
        <f t="shared" si="0"/>
        <v>1312393.7147587454</v>
      </c>
      <c r="Q42" s="15">
        <f t="shared" si="1"/>
        <v>1091526.6163184084</v>
      </c>
    </row>
    <row r="43" spans="1:17" ht="12.75">
      <c r="A43" t="s">
        <v>14</v>
      </c>
      <c r="B43">
        <v>1</v>
      </c>
      <c r="C43" s="15">
        <v>25044.977520676086</v>
      </c>
      <c r="D43" s="15">
        <f>B43*C43</f>
        <v>25044.977520676086</v>
      </c>
      <c r="E43" s="3">
        <f>B$5/B43</f>
        <v>238</v>
      </c>
      <c r="G43">
        <v>1</v>
      </c>
      <c r="H43" s="5">
        <v>310</v>
      </c>
      <c r="J43" s="52">
        <v>767</v>
      </c>
      <c r="K43" s="53" t="s">
        <v>119</v>
      </c>
      <c r="L43" s="37">
        <v>11250.5379015544</v>
      </c>
      <c r="M43" s="52">
        <v>188</v>
      </c>
      <c r="N43" s="52">
        <v>30</v>
      </c>
      <c r="O43" s="15">
        <f t="shared" si="2"/>
        <v>8002.400699748448</v>
      </c>
      <c r="P43" s="15">
        <f t="shared" si="0"/>
        <v>1504451.331552708</v>
      </c>
      <c r="Q43" s="15">
        <f t="shared" si="1"/>
        <v>2115101.1254922273</v>
      </c>
    </row>
    <row r="44" spans="10:17" ht="12.75">
      <c r="J44" s="52">
        <v>775</v>
      </c>
      <c r="K44" s="53" t="s">
        <v>119</v>
      </c>
      <c r="L44" s="37">
        <v>6627.79152968478</v>
      </c>
      <c r="M44" s="52">
        <v>203</v>
      </c>
      <c r="N44" s="52">
        <v>42</v>
      </c>
      <c r="O44" s="15">
        <f t="shared" si="2"/>
        <v>8002.400699748448</v>
      </c>
      <c r="P44" s="15">
        <f t="shared" si="0"/>
        <v>1624487.342048935</v>
      </c>
      <c r="Q44" s="15">
        <f t="shared" si="1"/>
        <v>1345441.6805260102</v>
      </c>
    </row>
    <row r="45" spans="1:17" ht="12.75">
      <c r="A45" t="s">
        <v>28</v>
      </c>
      <c r="G45" t="s">
        <v>35</v>
      </c>
      <c r="J45" s="52">
        <v>778</v>
      </c>
      <c r="K45" s="53" t="s">
        <v>119</v>
      </c>
      <c r="L45" s="37">
        <v>6627.79152968478</v>
      </c>
      <c r="M45" s="52">
        <v>296</v>
      </c>
      <c r="N45" s="52">
        <v>57</v>
      </c>
      <c r="O45" s="15">
        <f t="shared" si="2"/>
        <v>8002.400699748448</v>
      </c>
      <c r="P45" s="15">
        <f t="shared" si="0"/>
        <v>2368710.6071255403</v>
      </c>
      <c r="Q45" s="15">
        <f t="shared" si="1"/>
        <v>1961826.2927866948</v>
      </c>
    </row>
    <row r="46" spans="1:17" ht="12.75">
      <c r="A46" t="s">
        <v>29</v>
      </c>
      <c r="D46" s="15">
        <v>250</v>
      </c>
      <c r="H46">
        <v>200</v>
      </c>
      <c r="J46" s="52">
        <v>794</v>
      </c>
      <c r="K46" s="53" t="s">
        <v>119</v>
      </c>
      <c r="L46" s="37">
        <v>6467.80449438203</v>
      </c>
      <c r="M46" s="52">
        <v>281</v>
      </c>
      <c r="N46" s="52">
        <v>33</v>
      </c>
      <c r="O46" s="15">
        <f t="shared" si="2"/>
        <v>8002.400699748448</v>
      </c>
      <c r="P46" s="15">
        <f t="shared" si="0"/>
        <v>2248674.5966293137</v>
      </c>
      <c r="Q46" s="15">
        <f t="shared" si="1"/>
        <v>1817453.0629213504</v>
      </c>
    </row>
    <row r="47" spans="1:17" ht="12.75">
      <c r="A47" t="s">
        <v>30</v>
      </c>
      <c r="D47" s="15">
        <v>100</v>
      </c>
      <c r="H47">
        <v>50</v>
      </c>
      <c r="J47" s="52">
        <v>797</v>
      </c>
      <c r="K47" s="53" t="s">
        <v>119</v>
      </c>
      <c r="L47" s="37">
        <v>6696.06699004975</v>
      </c>
      <c r="M47" s="52">
        <v>286</v>
      </c>
      <c r="N47" s="52">
        <v>23</v>
      </c>
      <c r="O47" s="15">
        <f t="shared" si="2"/>
        <v>8002.400699748448</v>
      </c>
      <c r="P47" s="15">
        <f t="shared" si="0"/>
        <v>2288686.600128056</v>
      </c>
      <c r="Q47" s="15">
        <f t="shared" si="1"/>
        <v>1915075.1591542284</v>
      </c>
    </row>
    <row r="48" spans="1:17" ht="12.75">
      <c r="A48" t="s">
        <v>31</v>
      </c>
      <c r="D48" s="15">
        <v>300</v>
      </c>
      <c r="H48">
        <v>275</v>
      </c>
      <c r="J48" s="52">
        <v>809</v>
      </c>
      <c r="K48" s="53" t="s">
        <v>119</v>
      </c>
      <c r="L48" s="37">
        <v>5815.47310096154</v>
      </c>
      <c r="M48" s="52">
        <v>294</v>
      </c>
      <c r="N48" s="52">
        <v>38</v>
      </c>
      <c r="O48" s="15">
        <f t="shared" si="2"/>
        <v>8002.400699748448</v>
      </c>
      <c r="P48" s="15">
        <f t="shared" si="0"/>
        <v>2352705.8057260434</v>
      </c>
      <c r="Q48" s="15">
        <f t="shared" si="1"/>
        <v>1709749.0916826928</v>
      </c>
    </row>
    <row r="49" spans="1:17" ht="12.75">
      <c r="A49" t="s">
        <v>32</v>
      </c>
      <c r="D49" s="15">
        <v>50</v>
      </c>
      <c r="H49">
        <v>20</v>
      </c>
      <c r="J49" s="52">
        <v>822</v>
      </c>
      <c r="K49" s="53" t="s">
        <v>119</v>
      </c>
      <c r="L49" s="37">
        <v>7036.036</v>
      </c>
      <c r="M49" s="52">
        <v>271</v>
      </c>
      <c r="N49" s="52">
        <v>75</v>
      </c>
      <c r="O49" s="15">
        <f t="shared" si="2"/>
        <v>8002.400699748448</v>
      </c>
      <c r="P49" s="15">
        <f t="shared" si="0"/>
        <v>2168650.5896318294</v>
      </c>
      <c r="Q49" s="15">
        <f t="shared" si="1"/>
        <v>1906765.756</v>
      </c>
    </row>
    <row r="50" spans="1:17" ht="12.75">
      <c r="A50" t="s">
        <v>33</v>
      </c>
      <c r="D50" s="15">
        <v>50</v>
      </c>
      <c r="H50">
        <v>50</v>
      </c>
      <c r="J50" s="52">
        <v>963</v>
      </c>
      <c r="K50" s="53" t="s">
        <v>119</v>
      </c>
      <c r="L50" s="37">
        <v>5826.18942877802</v>
      </c>
      <c r="M50" s="52">
        <v>212</v>
      </c>
      <c r="N50" s="52">
        <v>27</v>
      </c>
      <c r="O50" s="15">
        <f t="shared" si="2"/>
        <v>8002.400699748448</v>
      </c>
      <c r="P50" s="15">
        <f t="shared" si="0"/>
        <v>1696508.948346671</v>
      </c>
      <c r="Q50" s="15">
        <f t="shared" si="1"/>
        <v>1235152.15890094</v>
      </c>
    </row>
    <row r="51" spans="1:17" ht="12.75">
      <c r="A51" t="s">
        <v>34</v>
      </c>
      <c r="D51" s="15">
        <v>25</v>
      </c>
      <c r="J51" s="52">
        <v>969</v>
      </c>
      <c r="K51" s="53" t="s">
        <v>119</v>
      </c>
      <c r="L51" s="37">
        <v>6241.8061627907</v>
      </c>
      <c r="M51" s="52">
        <v>228</v>
      </c>
      <c r="N51" s="52">
        <v>13</v>
      </c>
      <c r="O51" s="15">
        <f t="shared" si="2"/>
        <v>8002.400699748448</v>
      </c>
      <c r="P51" s="15">
        <f t="shared" si="0"/>
        <v>1824547.359542646</v>
      </c>
      <c r="Q51" s="15">
        <f t="shared" si="1"/>
        <v>1423131.8051162795</v>
      </c>
    </row>
    <row r="52" spans="10:17" ht="12.75">
      <c r="J52" s="52">
        <v>973</v>
      </c>
      <c r="K52" s="53" t="s">
        <v>119</v>
      </c>
      <c r="L52" s="37">
        <v>6846.68269303202</v>
      </c>
      <c r="M52" s="52">
        <v>223</v>
      </c>
      <c r="N52" s="52">
        <v>21</v>
      </c>
      <c r="O52" s="15">
        <f t="shared" si="2"/>
        <v>8002.400699748448</v>
      </c>
      <c r="P52" s="15">
        <f t="shared" si="0"/>
        <v>1784535.3560439039</v>
      </c>
      <c r="Q52" s="15">
        <f t="shared" si="1"/>
        <v>1526810.2405461406</v>
      </c>
    </row>
    <row r="53" spans="1:17" ht="12.75">
      <c r="A53" t="s">
        <v>134</v>
      </c>
      <c r="D53" s="15">
        <f>SUM(D10:D43)+SUM(D46:D51)*B5</f>
        <v>1601168.399131917</v>
      </c>
      <c r="J53" s="52">
        <v>975</v>
      </c>
      <c r="K53" s="53" t="s">
        <v>119</v>
      </c>
      <c r="L53" s="37">
        <v>5525.94638513513</v>
      </c>
      <c r="M53" s="52">
        <v>230</v>
      </c>
      <c r="N53" s="52">
        <v>25</v>
      </c>
      <c r="O53" s="15">
        <f t="shared" si="2"/>
        <v>8002.400699748448</v>
      </c>
      <c r="P53" s="15">
        <f t="shared" si="0"/>
        <v>1840552.1609421428</v>
      </c>
      <c r="Q53" s="15">
        <f t="shared" si="1"/>
        <v>1270967.66858108</v>
      </c>
    </row>
    <row r="54" spans="1:17" ht="12.75">
      <c r="A54" t="s">
        <v>137</v>
      </c>
      <c r="D54" s="15">
        <f>D53/238</f>
        <v>6727.598315680323</v>
      </c>
      <c r="J54" s="52">
        <v>1033</v>
      </c>
      <c r="K54" s="53" t="s">
        <v>119</v>
      </c>
      <c r="L54" s="37">
        <v>6302.68613559322</v>
      </c>
      <c r="M54" s="52">
        <v>214</v>
      </c>
      <c r="N54" s="52">
        <v>22</v>
      </c>
      <c r="O54" s="15">
        <f t="shared" si="2"/>
        <v>8002.400699748448</v>
      </c>
      <c r="P54" s="15">
        <f t="shared" si="0"/>
        <v>1712513.7497461678</v>
      </c>
      <c r="Q54" s="15">
        <f t="shared" si="1"/>
        <v>1348774.833016949</v>
      </c>
    </row>
    <row r="55" spans="1:17" ht="12.75">
      <c r="A55" t="s">
        <v>138</v>
      </c>
      <c r="D55" s="15">
        <v>1274.8023840681246</v>
      </c>
      <c r="J55" s="52">
        <v>1045</v>
      </c>
      <c r="K55" s="53" t="s">
        <v>119</v>
      </c>
      <c r="L55" s="37">
        <v>5499.22460264901</v>
      </c>
      <c r="M55" s="52">
        <v>234</v>
      </c>
      <c r="N55" s="52">
        <v>13</v>
      </c>
      <c r="O55" s="15">
        <f t="shared" si="2"/>
        <v>8002.400699748448</v>
      </c>
      <c r="P55" s="15">
        <f t="shared" si="0"/>
        <v>1872561.7637411368</v>
      </c>
      <c r="Q55" s="15">
        <f t="shared" si="1"/>
        <v>1286818.5570198684</v>
      </c>
    </row>
    <row r="56" spans="1:17" ht="12.75">
      <c r="A56" t="s">
        <v>135</v>
      </c>
      <c r="D56" s="15">
        <f>SUM(D54:D55)</f>
        <v>8002.400699748448</v>
      </c>
      <c r="J56" s="52">
        <v>1047</v>
      </c>
      <c r="K56" s="53" t="s">
        <v>119</v>
      </c>
      <c r="L56" s="37">
        <v>6656.53494047619</v>
      </c>
      <c r="M56" s="52">
        <v>223</v>
      </c>
      <c r="N56" s="52">
        <v>8</v>
      </c>
      <c r="O56" s="15">
        <f t="shared" si="2"/>
        <v>8002.400699748448</v>
      </c>
      <c r="P56" s="15">
        <f t="shared" si="0"/>
        <v>1784535.3560439039</v>
      </c>
      <c r="Q56" s="15">
        <f t="shared" si="1"/>
        <v>1484407.2917261904</v>
      </c>
    </row>
    <row r="57" spans="1:17" ht="12.75">
      <c r="A57" t="s">
        <v>136</v>
      </c>
      <c r="D57" s="15">
        <f>+'Additional Costs'!D16</f>
        <v>1657.004595568437</v>
      </c>
      <c r="J57" s="52">
        <v>1070</v>
      </c>
      <c r="K57" s="53" t="s">
        <v>119</v>
      </c>
      <c r="L57" s="37">
        <v>8193.851475</v>
      </c>
      <c r="M57" s="52">
        <v>194</v>
      </c>
      <c r="N57" s="52">
        <v>21</v>
      </c>
      <c r="O57" s="15">
        <f t="shared" si="2"/>
        <v>8002.400699748448</v>
      </c>
      <c r="P57" s="15">
        <f t="shared" si="0"/>
        <v>1552465.7357511988</v>
      </c>
      <c r="Q57" s="15">
        <f t="shared" si="1"/>
        <v>1589607.18615</v>
      </c>
    </row>
    <row r="58" spans="1:17" ht="12.75">
      <c r="A58" t="s">
        <v>208</v>
      </c>
      <c r="D58" s="15">
        <f>+'Additional Costs'!D25</f>
        <v>8605.214222109998</v>
      </c>
      <c r="J58" s="52">
        <v>1109</v>
      </c>
      <c r="K58" s="53" t="s">
        <v>119</v>
      </c>
      <c r="L58" s="37">
        <v>4960.80372807018</v>
      </c>
      <c r="M58" s="52">
        <v>173</v>
      </c>
      <c r="N58" s="52">
        <v>13</v>
      </c>
      <c r="O58" s="15">
        <f t="shared" si="2"/>
        <v>8002.400699748448</v>
      </c>
      <c r="P58" s="15">
        <f t="shared" si="0"/>
        <v>1384415.3210564815</v>
      </c>
      <c r="Q58" s="15">
        <f t="shared" si="1"/>
        <v>858219.0449561412</v>
      </c>
    </row>
    <row r="59" spans="1:17" ht="12.75">
      <c r="A59" t="s">
        <v>209</v>
      </c>
      <c r="D59" s="15">
        <f>+D58+D57</f>
        <v>10262.218817678435</v>
      </c>
      <c r="J59" s="52">
        <v>1111</v>
      </c>
      <c r="K59" s="53" t="s">
        <v>119</v>
      </c>
      <c r="L59" s="37">
        <v>5768.37259593679</v>
      </c>
      <c r="M59" s="52">
        <v>277</v>
      </c>
      <c r="N59" s="52">
        <v>19</v>
      </c>
      <c r="O59" s="15">
        <f t="shared" si="2"/>
        <v>8002.400699748448</v>
      </c>
      <c r="P59" s="15">
        <f t="shared" si="0"/>
        <v>2216664.99383032</v>
      </c>
      <c r="Q59" s="15">
        <f t="shared" si="1"/>
        <v>1597839.209074491</v>
      </c>
    </row>
    <row r="60" spans="10:17" ht="12.75">
      <c r="J60" s="52">
        <v>1125</v>
      </c>
      <c r="K60" s="53" t="s">
        <v>119</v>
      </c>
      <c r="L60" s="37">
        <v>5441.28659751037</v>
      </c>
      <c r="M60" s="52">
        <v>160</v>
      </c>
      <c r="N60" s="52">
        <v>12</v>
      </c>
      <c r="O60" s="15">
        <f t="shared" si="2"/>
        <v>8002.400699748448</v>
      </c>
      <c r="P60" s="15">
        <f t="shared" si="0"/>
        <v>1280384.1119597517</v>
      </c>
      <c r="Q60" s="15">
        <f t="shared" si="1"/>
        <v>870605.8556016592</v>
      </c>
    </row>
    <row r="61" spans="10:17" ht="12.75">
      <c r="J61" s="52">
        <v>1129</v>
      </c>
      <c r="K61" s="53" t="s">
        <v>119</v>
      </c>
      <c r="L61" s="37">
        <v>5462.43419263456</v>
      </c>
      <c r="M61" s="52">
        <v>280</v>
      </c>
      <c r="N61" s="52">
        <v>11</v>
      </c>
      <c r="O61" s="15">
        <f t="shared" si="2"/>
        <v>8002.400699748448</v>
      </c>
      <c r="P61" s="15">
        <f t="shared" si="0"/>
        <v>2240672.1959295655</v>
      </c>
      <c r="Q61" s="15">
        <f t="shared" si="1"/>
        <v>1529481.5739376766</v>
      </c>
    </row>
    <row r="62" spans="10:17" ht="12.75">
      <c r="J62" s="52">
        <v>1147</v>
      </c>
      <c r="K62" s="53" t="s">
        <v>119</v>
      </c>
      <c r="L62" s="37">
        <v>5924.16877813505</v>
      </c>
      <c r="M62" s="52">
        <v>248</v>
      </c>
      <c r="N62" s="52">
        <v>39</v>
      </c>
      <c r="O62" s="15">
        <f t="shared" si="2"/>
        <v>8002.400699748448</v>
      </c>
      <c r="P62" s="15">
        <f t="shared" si="0"/>
        <v>1984595.373537615</v>
      </c>
      <c r="Q62" s="15">
        <f t="shared" si="1"/>
        <v>1469193.8569774923</v>
      </c>
    </row>
    <row r="63" spans="10:17" ht="12.75">
      <c r="J63" s="52">
        <v>1154</v>
      </c>
      <c r="K63" s="53" t="s">
        <v>119</v>
      </c>
      <c r="L63" s="37">
        <v>7044.07933014354</v>
      </c>
      <c r="M63" s="52">
        <v>152</v>
      </c>
      <c r="N63" s="52">
        <v>12</v>
      </c>
      <c r="O63" s="15">
        <f t="shared" si="2"/>
        <v>8002.400699748448</v>
      </c>
      <c r="P63" s="15">
        <f t="shared" si="0"/>
        <v>1216364.906361764</v>
      </c>
      <c r="Q63" s="15">
        <f t="shared" si="1"/>
        <v>1070700.058181818</v>
      </c>
    </row>
    <row r="64" spans="10:17" ht="12.75">
      <c r="J64" s="52">
        <v>1198</v>
      </c>
      <c r="K64" s="53" t="s">
        <v>119</v>
      </c>
      <c r="L64" s="37">
        <v>7199.89689171975</v>
      </c>
      <c r="M64" s="52">
        <v>249</v>
      </c>
      <c r="N64" s="52">
        <v>12</v>
      </c>
      <c r="O64" s="15">
        <f t="shared" si="2"/>
        <v>8002.400699748448</v>
      </c>
      <c r="P64" s="15">
        <f t="shared" si="0"/>
        <v>1992597.7742373634</v>
      </c>
      <c r="Q64" s="15">
        <f t="shared" si="1"/>
        <v>1792774.3260382176</v>
      </c>
    </row>
    <row r="65" spans="10:17" ht="12.75">
      <c r="J65" s="52">
        <v>1199</v>
      </c>
      <c r="K65" s="53" t="s">
        <v>119</v>
      </c>
      <c r="L65" s="37">
        <v>7199.89689171975</v>
      </c>
      <c r="M65" s="52">
        <v>176</v>
      </c>
      <c r="N65" s="52">
        <v>16</v>
      </c>
      <c r="O65" s="15">
        <f t="shared" si="2"/>
        <v>8002.400699748448</v>
      </c>
      <c r="P65" s="15">
        <f t="shared" si="0"/>
        <v>1408422.5231557267</v>
      </c>
      <c r="Q65" s="15">
        <f t="shared" si="1"/>
        <v>1267181.852942676</v>
      </c>
    </row>
    <row r="66" spans="10:17" ht="12.75">
      <c r="J66" s="52">
        <v>1228</v>
      </c>
      <c r="K66" s="53" t="s">
        <v>119</v>
      </c>
      <c r="L66" s="37">
        <v>5025.93959677419</v>
      </c>
      <c r="M66" s="52">
        <v>186</v>
      </c>
      <c r="N66" s="52">
        <v>21</v>
      </c>
      <c r="O66" s="15">
        <f t="shared" si="2"/>
        <v>8002.400699748448</v>
      </c>
      <c r="P66" s="15">
        <f aca="true" t="shared" si="3" ref="P66:P90">M66*O66</f>
        <v>1488446.5301532112</v>
      </c>
      <c r="Q66" s="15">
        <f aca="true" t="shared" si="4" ref="Q66:Q90">L66*M66</f>
        <v>934824.7649999994</v>
      </c>
    </row>
    <row r="67" spans="10:17" ht="12.75">
      <c r="J67" s="52">
        <v>1256</v>
      </c>
      <c r="K67" s="53" t="s">
        <v>119</v>
      </c>
      <c r="L67" s="37">
        <v>6306.42772198106</v>
      </c>
      <c r="M67" s="52">
        <v>293</v>
      </c>
      <c r="N67" s="52">
        <v>32</v>
      </c>
      <c r="O67" s="15">
        <f aca="true" t="shared" si="5" ref="O67:O90">+$D$56</f>
        <v>8002.400699748448</v>
      </c>
      <c r="P67" s="15">
        <f t="shared" si="3"/>
        <v>2344703.405026295</v>
      </c>
      <c r="Q67" s="15">
        <f t="shared" si="4"/>
        <v>1847783.3225404506</v>
      </c>
    </row>
    <row r="68" spans="10:17" ht="12.75">
      <c r="J68" s="52">
        <v>1260</v>
      </c>
      <c r="K68" s="53" t="s">
        <v>119</v>
      </c>
      <c r="L68" s="37">
        <v>6306.42772198106</v>
      </c>
      <c r="M68" s="52">
        <v>279</v>
      </c>
      <c r="N68" s="52">
        <v>38</v>
      </c>
      <c r="O68" s="15">
        <f t="shared" si="5"/>
        <v>8002.400699748448</v>
      </c>
      <c r="P68" s="15">
        <f t="shared" si="3"/>
        <v>2232669.795229817</v>
      </c>
      <c r="Q68" s="15">
        <f t="shared" si="4"/>
        <v>1759493.3344327158</v>
      </c>
    </row>
    <row r="69" spans="10:17" ht="12.75">
      <c r="J69" s="52">
        <v>1265</v>
      </c>
      <c r="K69" s="53" t="s">
        <v>119</v>
      </c>
      <c r="L69" s="37">
        <v>6306.42772198106</v>
      </c>
      <c r="M69" s="52">
        <v>277</v>
      </c>
      <c r="N69" s="52">
        <v>44</v>
      </c>
      <c r="O69" s="15">
        <f t="shared" si="5"/>
        <v>8002.400699748448</v>
      </c>
      <c r="P69" s="15">
        <f t="shared" si="3"/>
        <v>2216664.99383032</v>
      </c>
      <c r="Q69" s="15">
        <f t="shared" si="4"/>
        <v>1746880.4789887536</v>
      </c>
    </row>
    <row r="70" spans="10:17" ht="12.75">
      <c r="J70" s="52">
        <v>1268</v>
      </c>
      <c r="K70" s="53" t="s">
        <v>119</v>
      </c>
      <c r="L70" s="37">
        <v>6306.42772198106</v>
      </c>
      <c r="M70" s="52">
        <v>296</v>
      </c>
      <c r="N70" s="52">
        <v>44</v>
      </c>
      <c r="O70" s="15">
        <f t="shared" si="5"/>
        <v>8002.400699748448</v>
      </c>
      <c r="P70" s="15">
        <f t="shared" si="3"/>
        <v>2368710.6071255403</v>
      </c>
      <c r="Q70" s="15">
        <f t="shared" si="4"/>
        <v>1866702.6057063937</v>
      </c>
    </row>
    <row r="71" spans="10:17" ht="12.75">
      <c r="J71" s="52">
        <v>1270</v>
      </c>
      <c r="K71" s="53" t="s">
        <v>119</v>
      </c>
      <c r="L71" s="37">
        <v>6306.42772198106</v>
      </c>
      <c r="M71" s="52">
        <v>258</v>
      </c>
      <c r="N71" s="52">
        <v>37</v>
      </c>
      <c r="O71" s="15">
        <f t="shared" si="5"/>
        <v>8002.400699748448</v>
      </c>
      <c r="P71" s="15">
        <f t="shared" si="3"/>
        <v>2064619.3805350994</v>
      </c>
      <c r="Q71" s="15">
        <f t="shared" si="4"/>
        <v>1627058.3522711135</v>
      </c>
    </row>
    <row r="72" spans="10:17" ht="12.75">
      <c r="J72" s="52">
        <v>1275</v>
      </c>
      <c r="K72" s="53" t="s">
        <v>119</v>
      </c>
      <c r="L72" s="37">
        <v>6306.42772198106</v>
      </c>
      <c r="M72" s="52">
        <v>282</v>
      </c>
      <c r="N72" s="52">
        <v>30</v>
      </c>
      <c r="O72" s="15">
        <f t="shared" si="5"/>
        <v>8002.400699748448</v>
      </c>
      <c r="P72" s="15">
        <f t="shared" si="3"/>
        <v>2256676.9973290623</v>
      </c>
      <c r="Q72" s="15">
        <f t="shared" si="4"/>
        <v>1778412.617598659</v>
      </c>
    </row>
    <row r="73" spans="10:17" ht="12.75">
      <c r="J73" s="52">
        <v>1278</v>
      </c>
      <c r="K73" s="53" t="s">
        <v>119</v>
      </c>
      <c r="L73" s="37">
        <v>4674.7912254902</v>
      </c>
      <c r="M73" s="52">
        <v>200</v>
      </c>
      <c r="N73" s="52">
        <v>0</v>
      </c>
      <c r="O73" s="15">
        <f t="shared" si="5"/>
        <v>8002.400699748448</v>
      </c>
      <c r="P73" s="15">
        <f t="shared" si="3"/>
        <v>1600480.1399496896</v>
      </c>
      <c r="Q73" s="15">
        <f t="shared" si="4"/>
        <v>934958.2450980401</v>
      </c>
    </row>
    <row r="74" spans="10:17" ht="12.75">
      <c r="J74" s="52">
        <v>1279</v>
      </c>
      <c r="K74" s="53" t="s">
        <v>119</v>
      </c>
      <c r="L74" s="37">
        <v>6527.16233870968</v>
      </c>
      <c r="M74" s="52">
        <v>171</v>
      </c>
      <c r="N74" s="52">
        <v>13</v>
      </c>
      <c r="O74" s="15">
        <f t="shared" si="5"/>
        <v>8002.400699748448</v>
      </c>
      <c r="P74" s="15">
        <f t="shared" si="3"/>
        <v>1368410.5196569846</v>
      </c>
      <c r="Q74" s="15">
        <f t="shared" si="4"/>
        <v>1116144.7599193552</v>
      </c>
    </row>
    <row r="75" spans="10:17" ht="12.75">
      <c r="J75" s="52">
        <v>1285</v>
      </c>
      <c r="K75" s="53" t="s">
        <v>119</v>
      </c>
      <c r="L75" s="37">
        <v>5305.7027184466</v>
      </c>
      <c r="M75" s="52">
        <v>254</v>
      </c>
      <c r="N75" s="52">
        <v>21</v>
      </c>
      <c r="O75" s="15">
        <f t="shared" si="5"/>
        <v>8002.400699748448</v>
      </c>
      <c r="P75" s="15">
        <f t="shared" si="3"/>
        <v>2032609.7777361057</v>
      </c>
      <c r="Q75" s="15">
        <f t="shared" si="4"/>
        <v>1347648.4904854363</v>
      </c>
    </row>
    <row r="76" spans="10:17" ht="12.75">
      <c r="J76" s="52">
        <v>1304</v>
      </c>
      <c r="K76" s="53" t="s">
        <v>119</v>
      </c>
      <c r="L76" s="37">
        <v>4730.76163934426</v>
      </c>
      <c r="M76" s="52">
        <v>266</v>
      </c>
      <c r="N76" s="52">
        <v>25</v>
      </c>
      <c r="O76" s="15">
        <f t="shared" si="5"/>
        <v>8002.400699748448</v>
      </c>
      <c r="P76" s="15">
        <f t="shared" si="3"/>
        <v>2128638.586133087</v>
      </c>
      <c r="Q76" s="15">
        <f t="shared" si="4"/>
        <v>1258382.5960655732</v>
      </c>
    </row>
    <row r="77" spans="10:17" ht="12.75">
      <c r="J77" s="52">
        <v>1305</v>
      </c>
      <c r="K77" s="53" t="s">
        <v>119</v>
      </c>
      <c r="L77" s="37">
        <v>5598.77952662722</v>
      </c>
      <c r="M77" s="52">
        <v>236</v>
      </c>
      <c r="N77" s="52">
        <v>12</v>
      </c>
      <c r="O77" s="15">
        <f t="shared" si="5"/>
        <v>8002.400699748448</v>
      </c>
      <c r="P77" s="15">
        <f t="shared" si="3"/>
        <v>1888566.5651406336</v>
      </c>
      <c r="Q77" s="15">
        <f t="shared" si="4"/>
        <v>1321311.968284024</v>
      </c>
    </row>
    <row r="78" spans="10:17" ht="12.75">
      <c r="J78" s="52">
        <v>1408</v>
      </c>
      <c r="K78" s="53" t="s">
        <v>119</v>
      </c>
      <c r="L78" s="37">
        <v>5885.1505715433</v>
      </c>
      <c r="M78" s="52">
        <v>228</v>
      </c>
      <c r="N78" s="52">
        <v>19</v>
      </c>
      <c r="O78" s="15">
        <f t="shared" si="5"/>
        <v>8002.400699748448</v>
      </c>
      <c r="P78" s="15">
        <f t="shared" si="3"/>
        <v>1824547.359542646</v>
      </c>
      <c r="Q78" s="15">
        <f t="shared" si="4"/>
        <v>1341814.3303118725</v>
      </c>
    </row>
    <row r="79" spans="10:17" ht="12.75">
      <c r="J79" s="52">
        <v>1461</v>
      </c>
      <c r="K79" s="53" t="s">
        <v>119</v>
      </c>
      <c r="L79" s="37">
        <v>6273.22698816924</v>
      </c>
      <c r="M79" s="52">
        <v>266</v>
      </c>
      <c r="N79" s="52">
        <v>27</v>
      </c>
      <c r="O79" s="15">
        <f t="shared" si="5"/>
        <v>8002.400699748448</v>
      </c>
      <c r="P79" s="15">
        <f t="shared" si="3"/>
        <v>2128638.586133087</v>
      </c>
      <c r="Q79" s="15">
        <f t="shared" si="4"/>
        <v>1668678.378853018</v>
      </c>
    </row>
    <row r="80" spans="10:17" ht="12.75">
      <c r="J80" s="52">
        <v>1477</v>
      </c>
      <c r="K80" s="53" t="s">
        <v>119</v>
      </c>
      <c r="L80" s="37">
        <v>6273.22698816924</v>
      </c>
      <c r="M80" s="52">
        <v>293</v>
      </c>
      <c r="N80" s="52">
        <v>35</v>
      </c>
      <c r="O80" s="15">
        <f t="shared" si="5"/>
        <v>8002.400699748448</v>
      </c>
      <c r="P80" s="15">
        <f t="shared" si="3"/>
        <v>2344703.405026295</v>
      </c>
      <c r="Q80" s="15">
        <f t="shared" si="4"/>
        <v>1838055.5075335873</v>
      </c>
    </row>
    <row r="81" spans="10:17" ht="12.75">
      <c r="J81" s="52">
        <v>1501</v>
      </c>
      <c r="K81" s="53" t="s">
        <v>119</v>
      </c>
      <c r="L81" s="37">
        <v>6598.1423909396</v>
      </c>
      <c r="M81" s="52">
        <v>256</v>
      </c>
      <c r="N81" s="52">
        <v>16</v>
      </c>
      <c r="O81" s="15">
        <f t="shared" si="5"/>
        <v>8002.400699748448</v>
      </c>
      <c r="P81" s="15">
        <f t="shared" si="3"/>
        <v>2048614.5791356026</v>
      </c>
      <c r="Q81" s="15">
        <f t="shared" si="4"/>
        <v>1689124.4520805376</v>
      </c>
    </row>
    <row r="82" spans="10:17" ht="12.75">
      <c r="J82" s="52">
        <v>1504</v>
      </c>
      <c r="K82" s="53" t="s">
        <v>119</v>
      </c>
      <c r="L82" s="37">
        <v>8355.33310231023</v>
      </c>
      <c r="M82" s="52">
        <v>255</v>
      </c>
      <c r="N82" s="52">
        <v>28</v>
      </c>
      <c r="O82" s="15">
        <f t="shared" si="5"/>
        <v>8002.400699748448</v>
      </c>
      <c r="P82" s="15">
        <f t="shared" si="3"/>
        <v>2040612.1784358541</v>
      </c>
      <c r="Q82" s="15">
        <f t="shared" si="4"/>
        <v>2130609.9410891086</v>
      </c>
    </row>
    <row r="83" spans="10:17" ht="12.75">
      <c r="J83" s="52">
        <v>1508</v>
      </c>
      <c r="K83" s="53" t="s">
        <v>119</v>
      </c>
      <c r="L83" s="37">
        <v>6936.06179836512</v>
      </c>
      <c r="M83" s="52">
        <v>181</v>
      </c>
      <c r="N83" s="52">
        <v>30</v>
      </c>
      <c r="O83" s="15">
        <f t="shared" si="5"/>
        <v>8002.400699748448</v>
      </c>
      <c r="P83" s="15">
        <f t="shared" si="3"/>
        <v>1448434.526654469</v>
      </c>
      <c r="Q83" s="15">
        <f t="shared" si="4"/>
        <v>1255427.1855040868</v>
      </c>
    </row>
    <row r="84" spans="10:17" ht="12.75">
      <c r="J84" s="52">
        <v>1546</v>
      </c>
      <c r="K84" s="53" t="s">
        <v>119</v>
      </c>
      <c r="L84" s="37">
        <v>5765.44957683742</v>
      </c>
      <c r="M84" s="52">
        <v>205</v>
      </c>
      <c r="N84" s="52">
        <v>26</v>
      </c>
      <c r="O84" s="15">
        <f t="shared" si="5"/>
        <v>8002.400699748448</v>
      </c>
      <c r="P84" s="15">
        <f t="shared" si="3"/>
        <v>1640492.1434484317</v>
      </c>
      <c r="Q84" s="15">
        <f t="shared" si="4"/>
        <v>1181917.163251671</v>
      </c>
    </row>
    <row r="85" spans="10:17" ht="12.75">
      <c r="J85" s="52">
        <v>1549</v>
      </c>
      <c r="K85" s="53" t="s">
        <v>119</v>
      </c>
      <c r="L85" s="37">
        <v>6554.38109375</v>
      </c>
      <c r="M85" s="52">
        <v>157</v>
      </c>
      <c r="N85" s="52">
        <v>25</v>
      </c>
      <c r="O85" s="15">
        <f t="shared" si="5"/>
        <v>8002.400699748448</v>
      </c>
      <c r="P85" s="15">
        <f t="shared" si="3"/>
        <v>1256376.9098605062</v>
      </c>
      <c r="Q85" s="15">
        <f t="shared" si="4"/>
        <v>1029037.8317187501</v>
      </c>
    </row>
    <row r="86" spans="10:17" ht="12.75">
      <c r="J86" s="52">
        <v>1569</v>
      </c>
      <c r="K86" s="53" t="s">
        <v>119</v>
      </c>
      <c r="L86" s="37">
        <v>5713.60976349302</v>
      </c>
      <c r="M86" s="52">
        <v>297</v>
      </c>
      <c r="N86" s="52">
        <v>19</v>
      </c>
      <c r="O86" s="15">
        <f t="shared" si="5"/>
        <v>8002.400699748448</v>
      </c>
      <c r="P86" s="15">
        <f t="shared" si="3"/>
        <v>2376713.007825289</v>
      </c>
      <c r="Q86" s="15">
        <f t="shared" si="4"/>
        <v>1696942.099757427</v>
      </c>
    </row>
    <row r="87" spans="10:17" ht="12.75">
      <c r="J87" s="52">
        <v>1572</v>
      </c>
      <c r="K87" s="53" t="s">
        <v>119</v>
      </c>
      <c r="L87" s="37">
        <v>6648.10649761337</v>
      </c>
      <c r="M87" s="52">
        <v>190</v>
      </c>
      <c r="N87" s="52">
        <v>33</v>
      </c>
      <c r="O87" s="15">
        <f t="shared" si="5"/>
        <v>8002.400699748448</v>
      </c>
      <c r="P87" s="15">
        <f t="shared" si="3"/>
        <v>1520456.1329522051</v>
      </c>
      <c r="Q87" s="15">
        <f t="shared" si="4"/>
        <v>1263140.2345465403</v>
      </c>
    </row>
    <row r="88" spans="10:17" ht="12.75">
      <c r="J88" s="52">
        <v>1579</v>
      </c>
      <c r="K88" s="53" t="s">
        <v>119</v>
      </c>
      <c r="L88" s="37">
        <v>6004.59184560781</v>
      </c>
      <c r="M88" s="52">
        <v>152</v>
      </c>
      <c r="N88" s="52">
        <v>26</v>
      </c>
      <c r="O88" s="15">
        <f t="shared" si="5"/>
        <v>8002.400699748448</v>
      </c>
      <c r="P88" s="15">
        <f t="shared" si="3"/>
        <v>1216364.906361764</v>
      </c>
      <c r="Q88" s="15">
        <f t="shared" si="4"/>
        <v>912697.9605323871</v>
      </c>
    </row>
    <row r="89" spans="10:17" ht="12.75">
      <c r="J89" s="52">
        <v>1603</v>
      </c>
      <c r="K89" s="53" t="s">
        <v>119</v>
      </c>
      <c r="L89" s="37">
        <v>10568.4757531381</v>
      </c>
      <c r="M89" s="52">
        <v>260</v>
      </c>
      <c r="N89" s="52">
        <v>48</v>
      </c>
      <c r="O89" s="15">
        <f t="shared" si="5"/>
        <v>8002.400699748448</v>
      </c>
      <c r="P89" s="15">
        <f t="shared" si="3"/>
        <v>2080624.1819345963</v>
      </c>
      <c r="Q89" s="15">
        <f t="shared" si="4"/>
        <v>2747803.695815906</v>
      </c>
    </row>
    <row r="90" spans="10:17" ht="12.75">
      <c r="J90" s="52">
        <v>1806</v>
      </c>
      <c r="K90" s="53" t="s">
        <v>119</v>
      </c>
      <c r="L90" s="37">
        <v>7565.84328264759</v>
      </c>
      <c r="M90" s="52">
        <v>252</v>
      </c>
      <c r="N90" s="52">
        <v>24</v>
      </c>
      <c r="O90" s="15">
        <f t="shared" si="5"/>
        <v>8002.400699748448</v>
      </c>
      <c r="P90" s="15">
        <f t="shared" si="3"/>
        <v>2016604.9763366089</v>
      </c>
      <c r="Q90" s="15">
        <f t="shared" si="4"/>
        <v>1906592.5072271926</v>
      </c>
    </row>
    <row r="91" spans="12:16" ht="12.75">
      <c r="L91" s="15"/>
      <c r="M91">
        <f>SUM(M2:M90)</f>
        <v>20618</v>
      </c>
      <c r="N91" s="15">
        <f>SUM(N2:N90)</f>
        <v>2311</v>
      </c>
      <c r="O91" s="15"/>
      <c r="P91" s="15">
        <f>SUM(P2:P90)</f>
        <v>164993497.62741348</v>
      </c>
    </row>
    <row r="92" spans="11:16" ht="12.75">
      <c r="K92" s="105" t="s">
        <v>140</v>
      </c>
      <c r="L92" s="106"/>
      <c r="M92" s="107"/>
      <c r="N92" s="15">
        <v>1657.004595568437</v>
      </c>
      <c r="O92" s="15"/>
      <c r="P92" s="15">
        <f>P91+N95</f>
        <v>188709485.31506833</v>
      </c>
    </row>
    <row r="93" spans="11:15" ht="12.75">
      <c r="K93" s="105" t="s">
        <v>141</v>
      </c>
      <c r="L93" s="106"/>
      <c r="M93" s="107"/>
      <c r="N93" s="15">
        <v>8605.214222109998</v>
      </c>
      <c r="O93" s="15"/>
    </row>
    <row r="94" spans="11:15" ht="12.75">
      <c r="K94" s="105" t="s">
        <v>142</v>
      </c>
      <c r="L94" s="106"/>
      <c r="M94" s="107"/>
      <c r="N94" s="15">
        <f>SUM(N92:N93)</f>
        <v>10262.218817678435</v>
      </c>
      <c r="O94" s="15"/>
    </row>
    <row r="95" spans="11:15" ht="12.75">
      <c r="K95" s="105" t="s">
        <v>143</v>
      </c>
      <c r="L95" s="106"/>
      <c r="M95" s="107"/>
      <c r="N95" s="37">
        <f>N91*N94</f>
        <v>23715987.687654864</v>
      </c>
      <c r="O95" s="15"/>
    </row>
    <row r="96" spans="12:15" ht="12.75">
      <c r="L96" s="15"/>
      <c r="O96" s="15"/>
    </row>
    <row r="97" spans="12:15" ht="12.75">
      <c r="L97" s="15"/>
      <c r="O97" s="15"/>
    </row>
  </sheetData>
  <mergeCells count="4">
    <mergeCell ref="K92:M92"/>
    <mergeCell ref="K93:M93"/>
    <mergeCell ref="K94:M94"/>
    <mergeCell ref="K95:M95"/>
  </mergeCells>
  <printOptions gridLines="1"/>
  <pageMargins left="0.75" right="0.75" top="1" bottom="1" header="0.5" footer="0.5"/>
  <pageSetup fitToHeight="1" fitToWidth="1" horizontalDpi="300" verticalDpi="3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I42" sqref="I42"/>
    </sheetView>
  </sheetViews>
  <sheetFormatPr defaultColWidth="9.140625" defaultRowHeight="12.75"/>
  <cols>
    <col min="1" max="1" width="20.421875" style="0" customWidth="1"/>
    <col min="3" max="3" width="10.28125" style="15" bestFit="1" customWidth="1"/>
    <col min="4" max="4" width="12.8515625" style="15" bestFit="1" customWidth="1"/>
    <col min="9" max="9" width="10.7109375" style="0" customWidth="1"/>
    <col min="12" max="12" width="10.28125" style="15" bestFit="1" customWidth="1"/>
    <col min="13" max="13" width="9.28125" style="15" bestFit="1" customWidth="1"/>
    <col min="14" max="14" width="12.8515625" style="15" bestFit="1" customWidth="1"/>
    <col min="15" max="15" width="9.28125" style="15" bestFit="1" customWidth="1"/>
    <col min="16" max="16" width="14.00390625" style="15" bestFit="1" customWidth="1"/>
    <col min="17" max="17" width="12.8515625" style="15" bestFit="1" customWidth="1"/>
  </cols>
  <sheetData>
    <row r="1" spans="1:18" ht="40.5">
      <c r="A1" s="1" t="s">
        <v>38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46</v>
      </c>
      <c r="J2" s="54">
        <v>8</v>
      </c>
      <c r="K2" s="55" t="s">
        <v>121</v>
      </c>
      <c r="L2" s="37">
        <v>6851.85970972424</v>
      </c>
      <c r="M2" s="37">
        <v>217</v>
      </c>
      <c r="N2" s="37">
        <v>15</v>
      </c>
      <c r="O2" s="15">
        <f>+$D$56</f>
        <v>9042.15516393976</v>
      </c>
      <c r="P2" s="15">
        <f aca="true" t="shared" si="0" ref="P2:P27">M2*O2</f>
        <v>1962147.670574928</v>
      </c>
      <c r="Q2" s="15">
        <f aca="true" t="shared" si="1" ref="Q2:Q27">L2*M2</f>
        <v>1486853.55701016</v>
      </c>
    </row>
    <row r="3" spans="1:17" ht="12.75">
      <c r="A3" t="s">
        <v>54</v>
      </c>
      <c r="B3">
        <f>COUNT(M2:M27)</f>
        <v>26</v>
      </c>
      <c r="G3" t="s">
        <v>9</v>
      </c>
      <c r="J3" s="54">
        <v>452</v>
      </c>
      <c r="K3" s="55" t="s">
        <v>120</v>
      </c>
      <c r="L3" s="37">
        <v>6936.06179836512</v>
      </c>
      <c r="M3" s="37">
        <v>177</v>
      </c>
      <c r="N3" s="37">
        <v>33</v>
      </c>
      <c r="O3" s="15">
        <f aca="true" t="shared" si="2" ref="O3:O27">+$D$56</f>
        <v>9042.15516393976</v>
      </c>
      <c r="P3" s="15">
        <f t="shared" si="0"/>
        <v>1600461.4640173377</v>
      </c>
      <c r="Q3" s="15">
        <f t="shared" si="1"/>
        <v>1227682.9383106262</v>
      </c>
    </row>
    <row r="4" spans="10:17" ht="12.75">
      <c r="J4" s="54">
        <v>544</v>
      </c>
      <c r="K4" s="55" t="s">
        <v>120</v>
      </c>
      <c r="L4" s="37">
        <v>7372.80756578948</v>
      </c>
      <c r="M4" s="37">
        <v>114</v>
      </c>
      <c r="N4" s="37">
        <v>11</v>
      </c>
      <c r="O4" s="15">
        <f t="shared" si="2"/>
        <v>9042.15516393976</v>
      </c>
      <c r="P4" s="15">
        <f t="shared" si="0"/>
        <v>1030805.6886891327</v>
      </c>
      <c r="Q4" s="15">
        <f t="shared" si="1"/>
        <v>840500.0625000007</v>
      </c>
    </row>
    <row r="5" spans="1:17" ht="12.75">
      <c r="A5" t="s">
        <v>5</v>
      </c>
      <c r="B5">
        <v>154</v>
      </c>
      <c r="G5">
        <v>270</v>
      </c>
      <c r="J5" s="54">
        <v>937</v>
      </c>
      <c r="K5" s="55" t="s">
        <v>120</v>
      </c>
      <c r="L5" s="37">
        <v>6616.14128598848</v>
      </c>
      <c r="M5" s="37">
        <v>118</v>
      </c>
      <c r="N5" s="37">
        <v>22</v>
      </c>
      <c r="O5" s="15">
        <f t="shared" si="2"/>
        <v>9042.15516393976</v>
      </c>
      <c r="P5" s="15">
        <f t="shared" si="0"/>
        <v>1066974.3093448917</v>
      </c>
      <c r="Q5" s="15">
        <f t="shared" si="1"/>
        <v>780704.6717466407</v>
      </c>
    </row>
    <row r="6" spans="1:17" ht="12.75">
      <c r="A6" t="s">
        <v>6</v>
      </c>
      <c r="B6" s="3">
        <f>B5*E6</f>
        <v>53.745999999999995</v>
      </c>
      <c r="E6" s="4">
        <v>0.349</v>
      </c>
      <c r="G6">
        <v>95</v>
      </c>
      <c r="H6" s="4">
        <v>0.35185185185185186</v>
      </c>
      <c r="J6" s="54">
        <v>1410</v>
      </c>
      <c r="K6" s="55" t="s">
        <v>120</v>
      </c>
      <c r="L6" s="37">
        <v>5860.61829042225</v>
      </c>
      <c r="M6" s="37">
        <v>230</v>
      </c>
      <c r="N6" s="37">
        <v>30</v>
      </c>
      <c r="O6" s="15">
        <f t="shared" si="2"/>
        <v>9042.15516393976</v>
      </c>
      <c r="P6" s="15">
        <f t="shared" si="0"/>
        <v>2079695.6877061448</v>
      </c>
      <c r="Q6" s="15">
        <f t="shared" si="1"/>
        <v>1347942.2067971174</v>
      </c>
    </row>
    <row r="7" spans="1:17" ht="12.75">
      <c r="A7" t="s">
        <v>7</v>
      </c>
      <c r="B7" s="3">
        <f>B5*E7</f>
        <v>18.48</v>
      </c>
      <c r="E7" s="4">
        <v>0.12</v>
      </c>
      <c r="G7">
        <v>43</v>
      </c>
      <c r="H7" s="4">
        <v>0.15925925925925927</v>
      </c>
      <c r="J7" s="54">
        <v>1505</v>
      </c>
      <c r="K7" s="55" t="s">
        <v>120</v>
      </c>
      <c r="L7" s="37">
        <v>8355.33310231023</v>
      </c>
      <c r="M7" s="37">
        <v>104</v>
      </c>
      <c r="N7" s="37">
        <v>14</v>
      </c>
      <c r="O7" s="15">
        <f t="shared" si="2"/>
        <v>9042.15516393976</v>
      </c>
      <c r="P7" s="15">
        <f t="shared" si="0"/>
        <v>940384.137049735</v>
      </c>
      <c r="Q7" s="15">
        <f t="shared" si="1"/>
        <v>868954.6426402638</v>
      </c>
    </row>
    <row r="8" spans="1:17" ht="12.75">
      <c r="A8" t="s">
        <v>8</v>
      </c>
      <c r="B8" s="3">
        <f>B5*E8</f>
        <v>19.25</v>
      </c>
      <c r="E8" s="4">
        <v>0.125</v>
      </c>
      <c r="G8">
        <v>32</v>
      </c>
      <c r="H8" s="4">
        <v>0.11851851851851852</v>
      </c>
      <c r="J8" s="54">
        <v>1577</v>
      </c>
      <c r="K8" s="55" t="s">
        <v>120</v>
      </c>
      <c r="L8" s="37">
        <v>5796.06666666667</v>
      </c>
      <c r="M8" s="37">
        <v>169</v>
      </c>
      <c r="N8" s="37">
        <v>18</v>
      </c>
      <c r="O8" s="15">
        <f t="shared" si="2"/>
        <v>9042.15516393976</v>
      </c>
      <c r="P8" s="15">
        <f t="shared" si="0"/>
        <v>1528124.2227058194</v>
      </c>
      <c r="Q8" s="15">
        <f t="shared" si="1"/>
        <v>979535.2666666673</v>
      </c>
    </row>
    <row r="9" spans="5:17" ht="12.75">
      <c r="E9" s="4"/>
      <c r="J9" s="54">
        <v>1587</v>
      </c>
      <c r="K9" s="55" t="s">
        <v>121</v>
      </c>
      <c r="L9" s="37">
        <v>5752.4341580756</v>
      </c>
      <c r="M9" s="37">
        <v>199</v>
      </c>
      <c r="N9" s="37">
        <v>20</v>
      </c>
      <c r="O9" s="15">
        <f t="shared" si="2"/>
        <v>9042.15516393976</v>
      </c>
      <c r="P9" s="15">
        <f t="shared" si="0"/>
        <v>1799388.8776240123</v>
      </c>
      <c r="Q9" s="15">
        <f t="shared" si="1"/>
        <v>1144734.3974570443</v>
      </c>
    </row>
    <row r="10" spans="1:17" ht="12.75">
      <c r="A10" t="s">
        <v>18</v>
      </c>
      <c r="B10">
        <v>9.5</v>
      </c>
      <c r="C10" s="15">
        <v>42914.98927153859</v>
      </c>
      <c r="D10" s="15">
        <f>B10*C10</f>
        <v>407692.3980796166</v>
      </c>
      <c r="E10" s="3">
        <f>B$5/B10</f>
        <v>16.210526315789473</v>
      </c>
      <c r="J10" s="54">
        <v>1589</v>
      </c>
      <c r="K10" s="55" t="s">
        <v>120</v>
      </c>
      <c r="L10" s="37">
        <v>6554.38109375</v>
      </c>
      <c r="M10" s="37">
        <v>237</v>
      </c>
      <c r="N10" s="37">
        <v>46</v>
      </c>
      <c r="O10" s="15">
        <f t="shared" si="2"/>
        <v>9042.15516393976</v>
      </c>
      <c r="P10" s="15">
        <f t="shared" si="0"/>
        <v>2142990.7738537234</v>
      </c>
      <c r="Q10" s="15">
        <f t="shared" si="1"/>
        <v>1553388.31921875</v>
      </c>
    </row>
    <row r="11" spans="1:17" ht="12.75">
      <c r="A11" t="s">
        <v>15</v>
      </c>
      <c r="B11">
        <v>3.5</v>
      </c>
      <c r="C11" s="15">
        <v>42914.98927153859</v>
      </c>
      <c r="D11" s="15">
        <f>B11*C11</f>
        <v>150202.46245038506</v>
      </c>
      <c r="E11" s="3">
        <f>B$5/B11</f>
        <v>44</v>
      </c>
      <c r="G11">
        <v>11</v>
      </c>
      <c r="H11" s="5">
        <v>24.545454545454547</v>
      </c>
      <c r="J11" s="54">
        <v>1606</v>
      </c>
      <c r="K11" s="55" t="s">
        <v>120</v>
      </c>
      <c r="L11" s="37">
        <v>5408.48251059322</v>
      </c>
      <c r="M11" s="37">
        <v>156</v>
      </c>
      <c r="N11" s="37">
        <v>0</v>
      </c>
      <c r="O11" s="15">
        <f t="shared" si="2"/>
        <v>9042.15516393976</v>
      </c>
      <c r="P11" s="15">
        <f t="shared" si="0"/>
        <v>1410576.2055746026</v>
      </c>
      <c r="Q11" s="15">
        <f t="shared" si="1"/>
        <v>843723.2716525423</v>
      </c>
    </row>
    <row r="12" spans="1:17" ht="12.75">
      <c r="A12" t="s">
        <v>16</v>
      </c>
      <c r="B12">
        <f>SUM(B10:B11)</f>
        <v>13</v>
      </c>
      <c r="E12" s="3">
        <f>B$5/B12</f>
        <v>11.846153846153847</v>
      </c>
      <c r="G12">
        <v>2.5</v>
      </c>
      <c r="H12" s="5">
        <v>108</v>
      </c>
      <c r="J12" s="54">
        <v>1609</v>
      </c>
      <c r="K12" s="55" t="s">
        <v>121</v>
      </c>
      <c r="L12" s="37">
        <v>10568.4757531381</v>
      </c>
      <c r="M12" s="37">
        <v>197</v>
      </c>
      <c r="N12" s="37">
        <v>21</v>
      </c>
      <c r="O12" s="15">
        <f t="shared" si="2"/>
        <v>9042.15516393976</v>
      </c>
      <c r="P12" s="15">
        <f t="shared" si="0"/>
        <v>1781304.5672961327</v>
      </c>
      <c r="Q12" s="15">
        <f t="shared" si="1"/>
        <v>2081989.7233682058</v>
      </c>
    </row>
    <row r="13" spans="7:17" ht="12.75">
      <c r="G13">
        <f>SUM(G11:G12)</f>
        <v>13.5</v>
      </c>
      <c r="H13">
        <f>G5/G13</f>
        <v>20</v>
      </c>
      <c r="J13" s="54">
        <v>1616</v>
      </c>
      <c r="K13" s="55" t="s">
        <v>120</v>
      </c>
      <c r="L13" s="37">
        <v>6432.74606138107</v>
      </c>
      <c r="M13" s="37">
        <v>130</v>
      </c>
      <c r="N13" s="37">
        <v>20</v>
      </c>
      <c r="O13" s="15">
        <f t="shared" si="2"/>
        <v>9042.15516393976</v>
      </c>
      <c r="P13" s="15">
        <f t="shared" si="0"/>
        <v>1175480.171312169</v>
      </c>
      <c r="Q13" s="15">
        <f t="shared" si="1"/>
        <v>836256.9879795391</v>
      </c>
    </row>
    <row r="14" spans="8:17" ht="12.75">
      <c r="H14" s="5"/>
      <c r="J14" s="54">
        <v>1618</v>
      </c>
      <c r="K14" s="55" t="s">
        <v>120</v>
      </c>
      <c r="L14" s="37">
        <v>7199.89689171975</v>
      </c>
      <c r="M14" s="37">
        <v>129</v>
      </c>
      <c r="N14" s="37">
        <v>13</v>
      </c>
      <c r="O14" s="15">
        <f t="shared" si="2"/>
        <v>9042.15516393976</v>
      </c>
      <c r="P14" s="15">
        <f t="shared" si="0"/>
        <v>1166438.0161482291</v>
      </c>
      <c r="Q14" s="15">
        <f t="shared" si="1"/>
        <v>928786.6990318478</v>
      </c>
    </row>
    <row r="15" spans="1:17" ht="12.75">
      <c r="A15" t="s">
        <v>17</v>
      </c>
      <c r="B15">
        <v>3</v>
      </c>
      <c r="C15" s="15">
        <v>20738.494724169057</v>
      </c>
      <c r="D15" s="15">
        <f>B15*C15</f>
        <v>62215.484172507175</v>
      </c>
      <c r="E15" s="3">
        <f>B$5/B15</f>
        <v>51.333333333333336</v>
      </c>
      <c r="G15">
        <v>3</v>
      </c>
      <c r="H15" s="5">
        <v>90</v>
      </c>
      <c r="J15" s="54">
        <v>1619</v>
      </c>
      <c r="K15" s="55" t="s">
        <v>120</v>
      </c>
      <c r="L15" s="37">
        <v>6315.88135970334</v>
      </c>
      <c r="M15" s="37">
        <v>204</v>
      </c>
      <c r="N15" s="37">
        <v>17</v>
      </c>
      <c r="O15" s="15">
        <f t="shared" si="2"/>
        <v>9042.15516393976</v>
      </c>
      <c r="P15" s="15">
        <f t="shared" si="0"/>
        <v>1844599.653443711</v>
      </c>
      <c r="Q15" s="15">
        <f t="shared" si="1"/>
        <v>1288439.7973794814</v>
      </c>
    </row>
    <row r="16" spans="8:17" ht="12.75">
      <c r="H16" s="5"/>
      <c r="J16" s="54">
        <v>1658</v>
      </c>
      <c r="K16" s="55" t="s">
        <v>120</v>
      </c>
      <c r="L16" s="37">
        <v>5453.36385416666</v>
      </c>
      <c r="M16" s="37">
        <v>115</v>
      </c>
      <c r="N16" s="37">
        <v>3</v>
      </c>
      <c r="O16" s="15">
        <f t="shared" si="2"/>
        <v>9042.15516393976</v>
      </c>
      <c r="P16" s="15">
        <f t="shared" si="0"/>
        <v>1039847.8438530724</v>
      </c>
      <c r="Q16" s="15">
        <f t="shared" si="1"/>
        <v>627136.8432291659</v>
      </c>
    </row>
    <row r="17" spans="1:17" ht="12.75">
      <c r="A17" t="s">
        <v>19</v>
      </c>
      <c r="B17">
        <v>2</v>
      </c>
      <c r="C17" s="15">
        <v>42914.98927153859</v>
      </c>
      <c r="D17" s="15">
        <f>B17*C17</f>
        <v>85829.97854307717</v>
      </c>
      <c r="E17" s="3">
        <f>B$8/B17</f>
        <v>9.625</v>
      </c>
      <c r="G17">
        <v>2</v>
      </c>
      <c r="H17" s="5">
        <v>16</v>
      </c>
      <c r="J17" s="54">
        <v>1660</v>
      </c>
      <c r="K17" s="55" t="s">
        <v>120</v>
      </c>
      <c r="L17" s="37">
        <v>6185.47197064989</v>
      </c>
      <c r="M17" s="37">
        <v>153</v>
      </c>
      <c r="N17" s="37">
        <v>15</v>
      </c>
      <c r="O17" s="15">
        <f t="shared" si="2"/>
        <v>9042.15516393976</v>
      </c>
      <c r="P17" s="15">
        <f t="shared" si="0"/>
        <v>1383449.7400827834</v>
      </c>
      <c r="Q17" s="15">
        <f t="shared" si="1"/>
        <v>946377.2115094331</v>
      </c>
    </row>
    <row r="18" spans="1:17" ht="12.75">
      <c r="A18" t="s">
        <v>16</v>
      </c>
      <c r="G18">
        <v>0</v>
      </c>
      <c r="H18" s="5">
        <v>0</v>
      </c>
      <c r="J18" s="54">
        <v>1671</v>
      </c>
      <c r="K18" s="55" t="s">
        <v>120</v>
      </c>
      <c r="L18" s="37">
        <v>5886.43194630873</v>
      </c>
      <c r="M18" s="37">
        <v>118</v>
      </c>
      <c r="N18" s="37">
        <v>17</v>
      </c>
      <c r="O18" s="15">
        <f t="shared" si="2"/>
        <v>9042.15516393976</v>
      </c>
      <c r="P18" s="15">
        <f t="shared" si="0"/>
        <v>1066974.3093448917</v>
      </c>
      <c r="Q18" s="15">
        <f t="shared" si="1"/>
        <v>694598.9696644302</v>
      </c>
    </row>
    <row r="19" spans="1:17" ht="12.75">
      <c r="A19" t="s">
        <v>17</v>
      </c>
      <c r="B19">
        <v>2</v>
      </c>
      <c r="C19" s="15">
        <v>20738.494724169057</v>
      </c>
      <c r="D19" s="15">
        <f>B19*C19</f>
        <v>41476.989448338114</v>
      </c>
      <c r="E19" s="3">
        <f>B$8/B19</f>
        <v>9.625</v>
      </c>
      <c r="G19">
        <v>2</v>
      </c>
      <c r="H19" s="5">
        <v>16</v>
      </c>
      <c r="J19" s="54">
        <v>1692</v>
      </c>
      <c r="K19" s="55" t="s">
        <v>121</v>
      </c>
      <c r="L19" s="37">
        <v>5598.77952662722</v>
      </c>
      <c r="M19" s="37">
        <v>121</v>
      </c>
      <c r="N19" s="37">
        <v>8</v>
      </c>
      <c r="O19" s="15">
        <f t="shared" si="2"/>
        <v>9042.15516393976</v>
      </c>
      <c r="P19" s="15">
        <f t="shared" si="0"/>
        <v>1094100.774836711</v>
      </c>
      <c r="Q19" s="15">
        <f t="shared" si="1"/>
        <v>677452.3227218935</v>
      </c>
    </row>
    <row r="20" spans="8:17" ht="12.75">
      <c r="H20" s="5"/>
      <c r="J20" s="54">
        <v>1715</v>
      </c>
      <c r="K20" s="55" t="s">
        <v>121</v>
      </c>
      <c r="L20" s="37">
        <v>6177.32206214689</v>
      </c>
      <c r="M20" s="37">
        <v>129</v>
      </c>
      <c r="N20" s="37">
        <v>14</v>
      </c>
      <c r="O20" s="15">
        <f t="shared" si="2"/>
        <v>9042.15516393976</v>
      </c>
      <c r="P20" s="15">
        <f t="shared" si="0"/>
        <v>1166438.0161482291</v>
      </c>
      <c r="Q20" s="15">
        <f t="shared" si="1"/>
        <v>796874.5460169488</v>
      </c>
    </row>
    <row r="21" spans="8:17" ht="12.75">
      <c r="H21" s="5"/>
      <c r="J21" s="54">
        <v>1724</v>
      </c>
      <c r="K21" s="55" t="s">
        <v>120</v>
      </c>
      <c r="L21" s="37">
        <v>6650.31415778251</v>
      </c>
      <c r="M21" s="37">
        <v>117</v>
      </c>
      <c r="N21" s="37">
        <v>9</v>
      </c>
      <c r="O21" s="15">
        <f t="shared" si="2"/>
        <v>9042.15516393976</v>
      </c>
      <c r="P21" s="15">
        <f t="shared" si="0"/>
        <v>1057932.1541809519</v>
      </c>
      <c r="Q21" s="15">
        <f t="shared" si="1"/>
        <v>778086.7564605536</v>
      </c>
    </row>
    <row r="22" spans="1:17" ht="12.75">
      <c r="A22" t="s">
        <v>20</v>
      </c>
      <c r="H22" s="5"/>
      <c r="J22" s="54">
        <v>1737</v>
      </c>
      <c r="K22" s="55" t="s">
        <v>120</v>
      </c>
      <c r="L22" s="37">
        <v>6696.06699004975</v>
      </c>
      <c r="M22" s="37">
        <v>115</v>
      </c>
      <c r="N22" s="37">
        <v>19</v>
      </c>
      <c r="O22" s="15">
        <f t="shared" si="2"/>
        <v>9042.15516393976</v>
      </c>
      <c r="P22" s="15">
        <f t="shared" si="0"/>
        <v>1039847.8438530724</v>
      </c>
      <c r="Q22" s="15">
        <f t="shared" si="1"/>
        <v>770047.7038557212</v>
      </c>
    </row>
    <row r="23" spans="1:17" ht="12.75">
      <c r="A23" t="s">
        <v>11</v>
      </c>
      <c r="B23">
        <v>1</v>
      </c>
      <c r="C23" s="15">
        <v>46319.211226175925</v>
      </c>
      <c r="D23" s="15">
        <f>B23*C23</f>
        <v>46319.211226175925</v>
      </c>
      <c r="E23" s="3">
        <f>B$5/B23</f>
        <v>154</v>
      </c>
      <c r="G23">
        <v>1</v>
      </c>
      <c r="H23" s="5">
        <v>270</v>
      </c>
      <c r="J23" s="54">
        <v>1741</v>
      </c>
      <c r="K23" s="55" t="s">
        <v>120</v>
      </c>
      <c r="L23" s="37">
        <v>6071.83841025641</v>
      </c>
      <c r="M23" s="37">
        <v>222</v>
      </c>
      <c r="N23" s="37">
        <v>35</v>
      </c>
      <c r="O23" s="15">
        <f t="shared" si="2"/>
        <v>9042.15516393976</v>
      </c>
      <c r="P23" s="15">
        <f t="shared" si="0"/>
        <v>2007358.4463946267</v>
      </c>
      <c r="Q23" s="15">
        <f t="shared" si="1"/>
        <v>1347948.127076923</v>
      </c>
    </row>
    <row r="24" spans="1:17" ht="12.75">
      <c r="A24" t="s">
        <v>58</v>
      </c>
      <c r="B24">
        <v>0.25</v>
      </c>
      <c r="C24" s="15">
        <v>37487.41846994718</v>
      </c>
      <c r="D24" s="15">
        <f>B24*C24</f>
        <v>9371.854617486795</v>
      </c>
      <c r="E24" s="3">
        <f>B$5/B24</f>
        <v>616</v>
      </c>
      <c r="G24">
        <v>0.5</v>
      </c>
      <c r="H24" s="5">
        <v>540</v>
      </c>
      <c r="J24" s="54">
        <v>1764</v>
      </c>
      <c r="K24" s="55" t="s">
        <v>120</v>
      </c>
      <c r="L24" s="37">
        <v>6656.53494047619</v>
      </c>
      <c r="M24" s="37">
        <v>102</v>
      </c>
      <c r="N24" s="37">
        <v>13</v>
      </c>
      <c r="O24" s="15">
        <f t="shared" si="2"/>
        <v>9042.15516393976</v>
      </c>
      <c r="P24" s="15">
        <f t="shared" si="0"/>
        <v>922299.8267218556</v>
      </c>
      <c r="Q24" s="15">
        <f t="shared" si="1"/>
        <v>678966.5639285714</v>
      </c>
    </row>
    <row r="25" spans="1:17" ht="12.75">
      <c r="A25" t="s">
        <v>21</v>
      </c>
      <c r="B25">
        <v>0.1</v>
      </c>
      <c r="C25" s="15">
        <v>46396.4268055664</v>
      </c>
      <c r="D25" s="15">
        <f>B25*C25</f>
        <v>4639.64268055664</v>
      </c>
      <c r="E25" s="3">
        <f>B$5/B25</f>
        <v>1540</v>
      </c>
      <c r="G25">
        <v>0.1</v>
      </c>
      <c r="H25" s="5">
        <v>2700</v>
      </c>
      <c r="J25" s="54">
        <v>1772</v>
      </c>
      <c r="K25" s="55" t="s">
        <v>121</v>
      </c>
      <c r="L25" s="37">
        <v>5768.37259593679</v>
      </c>
      <c r="M25" s="37">
        <v>175</v>
      </c>
      <c r="N25" s="37">
        <v>14</v>
      </c>
      <c r="O25" s="15">
        <f t="shared" si="2"/>
        <v>9042.15516393976</v>
      </c>
      <c r="P25" s="15">
        <f t="shared" si="0"/>
        <v>1582377.153689458</v>
      </c>
      <c r="Q25" s="15">
        <f t="shared" si="1"/>
        <v>1009465.2042889383</v>
      </c>
    </row>
    <row r="26" spans="1:17" ht="12.75">
      <c r="A26" t="s">
        <v>84</v>
      </c>
      <c r="B26">
        <v>1</v>
      </c>
      <c r="C26" s="15">
        <v>20738.494724169057</v>
      </c>
      <c r="D26" s="15">
        <f>B26*C26</f>
        <v>20738.494724169057</v>
      </c>
      <c r="E26" s="3">
        <f>B$5/B26</f>
        <v>154</v>
      </c>
      <c r="H26" s="5"/>
      <c r="J26" s="54">
        <v>1794</v>
      </c>
      <c r="K26" s="55" t="s">
        <v>120</v>
      </c>
      <c r="L26" s="37">
        <v>5356.98941680961</v>
      </c>
      <c r="M26" s="37">
        <v>142</v>
      </c>
      <c r="N26" s="37">
        <v>14</v>
      </c>
      <c r="O26" s="15">
        <f t="shared" si="2"/>
        <v>9042.15516393976</v>
      </c>
      <c r="P26" s="15">
        <f t="shared" si="0"/>
        <v>1283986.033279446</v>
      </c>
      <c r="Q26" s="15">
        <f t="shared" si="1"/>
        <v>760692.4971869646</v>
      </c>
    </row>
    <row r="27" spans="8:17" ht="12.75">
      <c r="H27" s="5"/>
      <c r="J27" s="54">
        <v>1799</v>
      </c>
      <c r="K27" s="55" t="s">
        <v>121</v>
      </c>
      <c r="L27" s="37">
        <v>5623.57614931238</v>
      </c>
      <c r="M27" s="37">
        <v>176</v>
      </c>
      <c r="N27" s="37">
        <v>15</v>
      </c>
      <c r="O27" s="15">
        <f t="shared" si="2"/>
        <v>9042.15516393976</v>
      </c>
      <c r="P27" s="15">
        <f t="shared" si="0"/>
        <v>1591419.3088533978</v>
      </c>
      <c r="Q27" s="15">
        <f t="shared" si="1"/>
        <v>989749.4022789788</v>
      </c>
    </row>
    <row r="28" spans="1:16" ht="12.75">
      <c r="A28" t="s">
        <v>19</v>
      </c>
      <c r="H28" s="5"/>
      <c r="M28" s="15">
        <f>SUM(M2:M27)</f>
        <v>4066</v>
      </c>
      <c r="N28" s="15">
        <f>SUM(N2:N27)</f>
        <v>456</v>
      </c>
      <c r="P28" s="15">
        <f>SUM(P2:P27)</f>
        <v>36765402.89657906</v>
      </c>
    </row>
    <row r="29" spans="1:16" ht="12.75">
      <c r="A29" s="6" t="s">
        <v>22</v>
      </c>
      <c r="B29">
        <v>0.23</v>
      </c>
      <c r="C29" s="15">
        <v>46396.4268055664</v>
      </c>
      <c r="D29" s="15">
        <f>B29*C29</f>
        <v>10671.178165280273</v>
      </c>
      <c r="E29" s="3">
        <f>B$8/B29</f>
        <v>83.69565217391305</v>
      </c>
      <c r="G29">
        <v>0.23</v>
      </c>
      <c r="H29" s="5">
        <v>139.1304347826087</v>
      </c>
      <c r="K29" s="105" t="s">
        <v>140</v>
      </c>
      <c r="L29" s="106"/>
      <c r="M29" s="107"/>
      <c r="N29" s="15">
        <v>1657.004595568437</v>
      </c>
      <c r="P29" s="15">
        <f>P28+N32</f>
        <v>41444974.67744042</v>
      </c>
    </row>
    <row r="30" spans="1:14" ht="12.75">
      <c r="A30" t="s">
        <v>23</v>
      </c>
      <c r="B30">
        <v>0.25</v>
      </c>
      <c r="C30" s="15">
        <v>48090.39947775422</v>
      </c>
      <c r="D30" s="15">
        <f>B30*C30</f>
        <v>12022.599869438554</v>
      </c>
      <c r="E30" s="3">
        <f>B$8/B30</f>
        <v>77</v>
      </c>
      <c r="H30" s="5"/>
      <c r="K30" s="105" t="s">
        <v>141</v>
      </c>
      <c r="L30" s="106"/>
      <c r="M30" s="107"/>
      <c r="N30" s="15">
        <v>8605.214222109998</v>
      </c>
    </row>
    <row r="31" spans="8:14" ht="12.75">
      <c r="H31" s="5"/>
      <c r="K31" s="105" t="s">
        <v>142</v>
      </c>
      <c r="L31" s="106"/>
      <c r="M31" s="107"/>
      <c r="N31" s="15">
        <f>SUM(N29:N30)</f>
        <v>10262.218817678435</v>
      </c>
    </row>
    <row r="32" spans="8:14" ht="12.75">
      <c r="H32" s="5"/>
      <c r="K32" s="105" t="s">
        <v>143</v>
      </c>
      <c r="L32" s="106"/>
      <c r="M32" s="107"/>
      <c r="N32" s="37">
        <f>N28*N31</f>
        <v>4679571.780861367</v>
      </c>
    </row>
    <row r="33" ht="12.75">
      <c r="H33" s="5"/>
    </row>
    <row r="34" ht="12.75">
      <c r="H34" s="5"/>
    </row>
    <row r="35" spans="1:8" ht="12.75">
      <c r="A35" t="s">
        <v>12</v>
      </c>
      <c r="H35" s="5"/>
    </row>
    <row r="36" spans="1:8" ht="12.75">
      <c r="A36" t="s">
        <v>24</v>
      </c>
      <c r="B36">
        <v>0.5</v>
      </c>
      <c r="C36" s="15">
        <v>41163.357056373745</v>
      </c>
      <c r="D36" s="15">
        <f>B36*C36</f>
        <v>20581.678528186872</v>
      </c>
      <c r="E36" s="3">
        <f>B$5/B36</f>
        <v>308</v>
      </c>
      <c r="G36">
        <v>1</v>
      </c>
      <c r="H36" s="5">
        <v>270</v>
      </c>
    </row>
    <row r="37" spans="1:8" ht="12.75">
      <c r="A37" t="s">
        <v>25</v>
      </c>
      <c r="B37">
        <v>0.5</v>
      </c>
      <c r="C37" s="15">
        <v>38216.04733492906</v>
      </c>
      <c r="D37" s="15">
        <f>B37*C37</f>
        <v>19108.02366746453</v>
      </c>
      <c r="E37" s="3">
        <f>B$5/B37</f>
        <v>308</v>
      </c>
      <c r="G37">
        <v>1</v>
      </c>
      <c r="H37" s="5">
        <v>270</v>
      </c>
    </row>
    <row r="38" spans="1:8" ht="12.75">
      <c r="A38" t="s">
        <v>26</v>
      </c>
      <c r="D38" s="15">
        <f>1.5*14400</f>
        <v>21600</v>
      </c>
      <c r="G38" s="7">
        <v>13950</v>
      </c>
      <c r="H38" s="5" t="s">
        <v>10</v>
      </c>
    </row>
    <row r="39" ht="12.75">
      <c r="H39" s="5"/>
    </row>
    <row r="40" spans="1:8" ht="12.75">
      <c r="A40" t="s">
        <v>27</v>
      </c>
      <c r="H40" s="5"/>
    </row>
    <row r="41" spans="1:8" ht="12.75">
      <c r="A41" t="s">
        <v>13</v>
      </c>
      <c r="B41">
        <v>1</v>
      </c>
      <c r="C41" s="15">
        <v>66157.3544068731</v>
      </c>
      <c r="D41" s="15">
        <f>B41*C41</f>
        <v>66157.3544068731</v>
      </c>
      <c r="E41" s="3">
        <f>B$5/B41</f>
        <v>154</v>
      </c>
      <c r="G41">
        <v>1</v>
      </c>
      <c r="H41" s="5">
        <v>270</v>
      </c>
    </row>
    <row r="42" spans="1:8" ht="12.75">
      <c r="A42" t="s">
        <v>59</v>
      </c>
      <c r="G42">
        <v>1</v>
      </c>
      <c r="H42" s="5">
        <v>270</v>
      </c>
    </row>
    <row r="43" spans="1:8" ht="12.75">
      <c r="A43" t="s">
        <v>14</v>
      </c>
      <c r="B43">
        <v>1</v>
      </c>
      <c r="C43" s="15">
        <v>25044.977520676086</v>
      </c>
      <c r="D43" s="15">
        <f>B43*C43</f>
        <v>25044.977520676086</v>
      </c>
      <c r="E43" s="3">
        <f>B$5/B43</f>
        <v>154</v>
      </c>
      <c r="G43">
        <v>2</v>
      </c>
      <c r="H43" s="5">
        <v>135</v>
      </c>
    </row>
    <row r="45" spans="1:7" ht="12.75">
      <c r="A45" t="s">
        <v>28</v>
      </c>
      <c r="G45" t="s">
        <v>35</v>
      </c>
    </row>
    <row r="46" spans="1:7" ht="12.75">
      <c r="A46" t="s">
        <v>29</v>
      </c>
      <c r="D46" s="15">
        <v>350</v>
      </c>
      <c r="G46">
        <v>200</v>
      </c>
    </row>
    <row r="47" spans="1:7" ht="12.75">
      <c r="A47" t="s">
        <v>30</v>
      </c>
      <c r="D47" s="15">
        <v>150</v>
      </c>
      <c r="G47">
        <v>150</v>
      </c>
    </row>
    <row r="48" spans="1:7" ht="12.75">
      <c r="A48" t="s">
        <v>31</v>
      </c>
      <c r="D48" s="15">
        <v>400</v>
      </c>
      <c r="G48">
        <v>275</v>
      </c>
    </row>
    <row r="49" spans="1:7" ht="12.75">
      <c r="A49" t="s">
        <v>32</v>
      </c>
      <c r="D49" s="15">
        <v>50</v>
      </c>
      <c r="G49">
        <v>20</v>
      </c>
    </row>
    <row r="50" spans="1:7" ht="12.75">
      <c r="A50" t="s">
        <v>33</v>
      </c>
      <c r="D50" s="15">
        <v>275</v>
      </c>
      <c r="G50">
        <v>250</v>
      </c>
    </row>
    <row r="51" spans="1:4" ht="12.75">
      <c r="A51" t="s">
        <v>34</v>
      </c>
      <c r="D51" s="15">
        <v>25</v>
      </c>
    </row>
    <row r="53" spans="1:4" ht="12.75">
      <c r="A53" t="s">
        <v>134</v>
      </c>
      <c r="D53" s="15">
        <f>SUM(D10:D43)+SUM(D46:D51)*B5</f>
        <v>1196172.328100232</v>
      </c>
    </row>
    <row r="54" spans="1:4" ht="12.75">
      <c r="A54" t="s">
        <v>137</v>
      </c>
      <c r="D54" s="15">
        <f>D53/154</f>
        <v>7767.352779871636</v>
      </c>
    </row>
    <row r="55" spans="1:4" ht="12.75">
      <c r="A55" t="s">
        <v>138</v>
      </c>
      <c r="D55" s="15">
        <v>1274.8023840681246</v>
      </c>
    </row>
    <row r="56" spans="1:4" ht="12.75">
      <c r="A56" t="s">
        <v>135</v>
      </c>
      <c r="D56" s="15">
        <f>SUM(D54:D55)</f>
        <v>9042.15516393976</v>
      </c>
    </row>
    <row r="57" spans="1:4" ht="12.75">
      <c r="A57" t="s">
        <v>136</v>
      </c>
      <c r="D57" s="15">
        <f>+'Additional Costs'!D16</f>
        <v>1657.004595568437</v>
      </c>
    </row>
    <row r="58" spans="1:4" ht="12.75">
      <c r="A58" t="s">
        <v>208</v>
      </c>
      <c r="D58" s="15">
        <f>+'Additional Costs'!D25</f>
        <v>8605.214222109998</v>
      </c>
    </row>
    <row r="59" spans="1:4" ht="12.75">
      <c r="A59" t="s">
        <v>209</v>
      </c>
      <c r="D59" s="15">
        <f>+D58+D57</f>
        <v>10262.218817678435</v>
      </c>
    </row>
  </sheetData>
  <mergeCells count="4">
    <mergeCell ref="K29:M29"/>
    <mergeCell ref="K30:M30"/>
    <mergeCell ref="K31:M31"/>
    <mergeCell ref="K32:M32"/>
  </mergeCells>
  <printOptions gridLines="1"/>
  <pageMargins left="0.75" right="0.75" top="1" bottom="1" header="0.5" footer="0.5"/>
  <pageSetup fitToHeight="1" fitToWidth="1" horizontalDpi="300" verticalDpi="3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workbookViewId="0" topLeftCell="A1">
      <selection activeCell="I42" sqref="I42"/>
    </sheetView>
  </sheetViews>
  <sheetFormatPr defaultColWidth="9.140625" defaultRowHeight="12.75"/>
  <cols>
    <col min="1" max="1" width="20.28125" style="0" customWidth="1"/>
    <col min="3" max="3" width="10.28125" style="15" bestFit="1" customWidth="1"/>
    <col min="4" max="4" width="12.8515625" style="15" bestFit="1" customWidth="1"/>
    <col min="9" max="9" width="10.7109375" style="0" customWidth="1"/>
    <col min="12" max="12" width="10.28125" style="15" bestFit="1" customWidth="1"/>
    <col min="13" max="13" width="9.28125" style="15" bestFit="1" customWidth="1"/>
    <col min="14" max="14" width="12.8515625" style="15" bestFit="1" customWidth="1"/>
    <col min="15" max="15" width="9.28125" style="15" bestFit="1" customWidth="1"/>
    <col min="16" max="16" width="14.00390625" style="15" bestFit="1" customWidth="1"/>
    <col min="17" max="17" width="12.8515625" style="15" bestFit="1" customWidth="1"/>
  </cols>
  <sheetData>
    <row r="1" spans="1:18" ht="40.5">
      <c r="A1" s="1" t="s">
        <v>38</v>
      </c>
      <c r="J1" s="40" t="s">
        <v>115</v>
      </c>
      <c r="K1" s="40" t="s">
        <v>116</v>
      </c>
      <c r="L1" s="41" t="s">
        <v>124</v>
      </c>
      <c r="M1" s="41" t="s">
        <v>145</v>
      </c>
      <c r="N1" s="41" t="s">
        <v>118</v>
      </c>
      <c r="O1" s="41" t="s">
        <v>146</v>
      </c>
      <c r="P1" s="43" t="s">
        <v>122</v>
      </c>
      <c r="Q1" s="43" t="s">
        <v>144</v>
      </c>
      <c r="R1" s="43" t="s">
        <v>123</v>
      </c>
    </row>
    <row r="2" spans="1:17" ht="15">
      <c r="A2" s="2" t="s">
        <v>47</v>
      </c>
      <c r="J2" s="56">
        <v>81</v>
      </c>
      <c r="K2" s="57" t="s">
        <v>125</v>
      </c>
      <c r="L2" s="37">
        <v>5886.43194630873</v>
      </c>
      <c r="M2" s="37">
        <v>232</v>
      </c>
      <c r="N2" s="37">
        <v>35</v>
      </c>
      <c r="O2" s="15">
        <f>+$D$56</f>
        <v>9367.283124860565</v>
      </c>
      <c r="P2" s="15">
        <f aca="true" t="shared" si="0" ref="P2:P30">M2*O2</f>
        <v>2173209.684967651</v>
      </c>
      <c r="Q2" s="15">
        <f aca="true" t="shared" si="1" ref="Q2:Q30">L2*M2</f>
        <v>1365652.2115436255</v>
      </c>
    </row>
    <row r="3" spans="1:17" ht="12.75">
      <c r="A3" t="s">
        <v>55</v>
      </c>
      <c r="B3">
        <f>COUNT(M2:M30)</f>
        <v>29</v>
      </c>
      <c r="G3" t="s">
        <v>9</v>
      </c>
      <c r="J3" s="56">
        <v>84</v>
      </c>
      <c r="K3" s="57" t="s">
        <v>125</v>
      </c>
      <c r="L3" s="37">
        <v>9346.54222222222</v>
      </c>
      <c r="M3" s="37">
        <v>169</v>
      </c>
      <c r="N3" s="37">
        <v>18</v>
      </c>
      <c r="O3" s="15">
        <f aca="true" t="shared" si="2" ref="O3:O30">+$D$56</f>
        <v>9367.283124860565</v>
      </c>
      <c r="P3" s="15">
        <f t="shared" si="0"/>
        <v>1583070.8481014355</v>
      </c>
      <c r="Q3" s="15">
        <f t="shared" si="1"/>
        <v>1579565.6355555553</v>
      </c>
    </row>
    <row r="4" spans="10:17" ht="12.75">
      <c r="J4" s="56">
        <v>443</v>
      </c>
      <c r="K4" s="57" t="s">
        <v>125</v>
      </c>
      <c r="L4" s="37">
        <v>6811.956</v>
      </c>
      <c r="M4" s="37">
        <v>366</v>
      </c>
      <c r="N4" s="37">
        <v>24</v>
      </c>
      <c r="O4" s="15">
        <f t="shared" si="2"/>
        <v>9367.283124860565</v>
      </c>
      <c r="P4" s="15">
        <f t="shared" si="0"/>
        <v>3428425.623698967</v>
      </c>
      <c r="Q4" s="15">
        <f t="shared" si="1"/>
        <v>2493175.896</v>
      </c>
    </row>
    <row r="5" spans="1:17" ht="12.75">
      <c r="A5" t="s">
        <v>5</v>
      </c>
      <c r="B5">
        <v>240</v>
      </c>
      <c r="G5">
        <v>540</v>
      </c>
      <c r="J5" s="56">
        <v>465</v>
      </c>
      <c r="K5" s="57" t="s">
        <v>125</v>
      </c>
      <c r="L5" s="37">
        <v>8622.87859813084</v>
      </c>
      <c r="M5" s="37">
        <v>219</v>
      </c>
      <c r="N5" s="37">
        <v>20</v>
      </c>
      <c r="O5" s="15">
        <f t="shared" si="2"/>
        <v>9367.283124860565</v>
      </c>
      <c r="P5" s="15">
        <f t="shared" si="0"/>
        <v>2051435.0043444638</v>
      </c>
      <c r="Q5" s="15">
        <f t="shared" si="1"/>
        <v>1888410.412990654</v>
      </c>
    </row>
    <row r="6" spans="1:17" ht="12.75">
      <c r="A6" t="s">
        <v>6</v>
      </c>
      <c r="B6" s="3">
        <f>B5*E6</f>
        <v>68.39999999999999</v>
      </c>
      <c r="E6" s="4">
        <v>0.285</v>
      </c>
      <c r="G6">
        <v>189</v>
      </c>
      <c r="H6" s="4">
        <v>0.35</v>
      </c>
      <c r="J6" s="56">
        <v>483</v>
      </c>
      <c r="K6" s="57" t="s">
        <v>125</v>
      </c>
      <c r="L6" s="37">
        <v>6480.09413793104</v>
      </c>
      <c r="M6" s="37">
        <v>179</v>
      </c>
      <c r="N6" s="37">
        <v>1</v>
      </c>
      <c r="O6" s="15">
        <f t="shared" si="2"/>
        <v>9367.283124860565</v>
      </c>
      <c r="P6" s="15">
        <f t="shared" si="0"/>
        <v>1676743.679350041</v>
      </c>
      <c r="Q6" s="15">
        <f t="shared" si="1"/>
        <v>1159936.850689656</v>
      </c>
    </row>
    <row r="7" spans="1:17" ht="12.75">
      <c r="A7" t="s">
        <v>7</v>
      </c>
      <c r="B7" s="3">
        <f>B5*E7</f>
        <v>43.44</v>
      </c>
      <c r="E7" s="4">
        <v>0.181</v>
      </c>
      <c r="G7">
        <v>86</v>
      </c>
      <c r="H7" s="4">
        <v>0.15925925925925927</v>
      </c>
      <c r="J7" s="56">
        <v>547</v>
      </c>
      <c r="K7" s="57" t="s">
        <v>125</v>
      </c>
      <c r="L7" s="37">
        <v>9301.25101973684</v>
      </c>
      <c r="M7" s="37">
        <v>308</v>
      </c>
      <c r="N7" s="37">
        <v>28</v>
      </c>
      <c r="O7" s="15">
        <f t="shared" si="2"/>
        <v>9367.283124860565</v>
      </c>
      <c r="P7" s="15">
        <f t="shared" si="0"/>
        <v>2885123.202457054</v>
      </c>
      <c r="Q7" s="15">
        <f t="shared" si="1"/>
        <v>2864785.3140789466</v>
      </c>
    </row>
    <row r="8" spans="1:17" ht="12.75">
      <c r="A8" t="s">
        <v>8</v>
      </c>
      <c r="B8" s="3">
        <f>B5*E8</f>
        <v>30</v>
      </c>
      <c r="E8" s="4">
        <v>0.125</v>
      </c>
      <c r="G8">
        <v>65</v>
      </c>
      <c r="H8" s="4">
        <v>0.12037037037037036</v>
      </c>
      <c r="J8" s="56">
        <v>608</v>
      </c>
      <c r="K8" s="57" t="s">
        <v>125</v>
      </c>
      <c r="L8" s="37">
        <v>8650.10995073892</v>
      </c>
      <c r="M8" s="37">
        <v>223</v>
      </c>
      <c r="N8" s="37">
        <v>15</v>
      </c>
      <c r="O8" s="15">
        <f t="shared" si="2"/>
        <v>9367.283124860565</v>
      </c>
      <c r="P8" s="15">
        <f t="shared" si="0"/>
        <v>2088904.136843906</v>
      </c>
      <c r="Q8" s="15">
        <f t="shared" si="1"/>
        <v>1928974.5190147792</v>
      </c>
    </row>
    <row r="9" spans="5:17" ht="12.75">
      <c r="E9" s="4"/>
      <c r="J9" s="56">
        <v>611</v>
      </c>
      <c r="K9" s="57" t="s">
        <v>125</v>
      </c>
      <c r="L9" s="37">
        <v>7753.69215613383</v>
      </c>
      <c r="M9" s="37">
        <v>264</v>
      </c>
      <c r="N9" s="37">
        <v>20</v>
      </c>
      <c r="O9" s="15">
        <f t="shared" si="2"/>
        <v>9367.283124860565</v>
      </c>
      <c r="P9" s="15">
        <f t="shared" si="0"/>
        <v>2472962.744963189</v>
      </c>
      <c r="Q9" s="15">
        <f t="shared" si="1"/>
        <v>2046974.7292193312</v>
      </c>
    </row>
    <row r="10" spans="1:17" ht="12.75">
      <c r="A10" t="s">
        <v>18</v>
      </c>
      <c r="B10">
        <v>12</v>
      </c>
      <c r="C10" s="15">
        <v>42914.98927153859</v>
      </c>
      <c r="D10" s="15">
        <f>B10*C10</f>
        <v>514979.871258463</v>
      </c>
      <c r="E10" s="3">
        <f>B$5/B10</f>
        <v>20</v>
      </c>
      <c r="J10" s="56">
        <v>697</v>
      </c>
      <c r="K10" s="57" t="s">
        <v>125</v>
      </c>
      <c r="L10" s="37">
        <v>8181.50648241206</v>
      </c>
      <c r="M10" s="37">
        <v>178</v>
      </c>
      <c r="N10" s="37">
        <v>12</v>
      </c>
      <c r="O10" s="15">
        <f t="shared" si="2"/>
        <v>9367.283124860565</v>
      </c>
      <c r="P10" s="15">
        <f t="shared" si="0"/>
        <v>1667376.3962251807</v>
      </c>
      <c r="Q10" s="15">
        <f t="shared" si="1"/>
        <v>1456308.1538693467</v>
      </c>
    </row>
    <row r="11" spans="1:17" ht="12.75">
      <c r="A11" t="s">
        <v>15</v>
      </c>
      <c r="G11">
        <v>32</v>
      </c>
      <c r="H11" s="5">
        <v>16.875</v>
      </c>
      <c r="J11" s="56">
        <v>711</v>
      </c>
      <c r="K11" s="57" t="s">
        <v>125</v>
      </c>
      <c r="L11" s="37">
        <v>6823.09834605598</v>
      </c>
      <c r="M11" s="37">
        <v>390</v>
      </c>
      <c r="N11" s="37">
        <v>20</v>
      </c>
      <c r="O11" s="15">
        <f t="shared" si="2"/>
        <v>9367.283124860565</v>
      </c>
      <c r="P11" s="15">
        <f t="shared" si="0"/>
        <v>3653240.4186956203</v>
      </c>
      <c r="Q11" s="15">
        <f t="shared" si="1"/>
        <v>2661008.354961832</v>
      </c>
    </row>
    <row r="12" spans="1:17" ht="12.75">
      <c r="A12" t="s">
        <v>16</v>
      </c>
      <c r="B12">
        <v>8</v>
      </c>
      <c r="C12" s="15">
        <v>42914.98927153859</v>
      </c>
      <c r="D12" s="15">
        <f>B12*C12</f>
        <v>343319.9141723087</v>
      </c>
      <c r="E12" s="3">
        <f>B$5/B12</f>
        <v>30</v>
      </c>
      <c r="G12">
        <v>0</v>
      </c>
      <c r="H12" s="5">
        <v>0</v>
      </c>
      <c r="J12" s="56">
        <v>803</v>
      </c>
      <c r="K12" s="57" t="s">
        <v>125</v>
      </c>
      <c r="L12" s="37">
        <v>6071.83841025641</v>
      </c>
      <c r="M12" s="37">
        <v>389</v>
      </c>
      <c r="N12" s="37">
        <v>38</v>
      </c>
      <c r="O12" s="15">
        <f t="shared" si="2"/>
        <v>9367.283124860565</v>
      </c>
      <c r="P12" s="15">
        <f t="shared" si="0"/>
        <v>3643873.13557076</v>
      </c>
      <c r="Q12" s="15">
        <f t="shared" si="1"/>
        <v>2361945.1415897436</v>
      </c>
    </row>
    <row r="13" spans="2:17" ht="12.75">
      <c r="B13">
        <f>SUM(B10:B12)</f>
        <v>20</v>
      </c>
      <c r="E13" s="3">
        <f>B$5/B13</f>
        <v>12</v>
      </c>
      <c r="G13">
        <f>SUM(G11:G12)</f>
        <v>32</v>
      </c>
      <c r="H13">
        <f>G5/G13</f>
        <v>16.875</v>
      </c>
      <c r="J13" s="56">
        <v>811</v>
      </c>
      <c r="K13" s="57" t="s">
        <v>125</v>
      </c>
      <c r="L13" s="37">
        <v>9074.5827173913</v>
      </c>
      <c r="M13" s="37">
        <v>171</v>
      </c>
      <c r="N13" s="37">
        <v>17</v>
      </c>
      <c r="O13" s="15">
        <f t="shared" si="2"/>
        <v>9367.283124860565</v>
      </c>
      <c r="P13" s="15">
        <f t="shared" si="0"/>
        <v>1601805.4143511567</v>
      </c>
      <c r="Q13" s="15">
        <f t="shared" si="1"/>
        <v>1551753.6446739123</v>
      </c>
    </row>
    <row r="14" spans="8:17" ht="12.75">
      <c r="H14" s="5"/>
      <c r="J14" s="56">
        <v>875</v>
      </c>
      <c r="K14" s="57" t="s">
        <v>125</v>
      </c>
      <c r="L14" s="37">
        <v>8355.33310231023</v>
      </c>
      <c r="M14" s="37">
        <v>195</v>
      </c>
      <c r="N14" s="37">
        <v>20</v>
      </c>
      <c r="O14" s="15">
        <f t="shared" si="2"/>
        <v>9367.283124860565</v>
      </c>
      <c r="P14" s="15">
        <f t="shared" si="0"/>
        <v>1826620.2093478101</v>
      </c>
      <c r="Q14" s="15">
        <f t="shared" si="1"/>
        <v>1629289.9549504947</v>
      </c>
    </row>
    <row r="15" spans="1:17" ht="12.75">
      <c r="A15" t="s">
        <v>17</v>
      </c>
      <c r="B15">
        <v>3</v>
      </c>
      <c r="C15" s="15">
        <v>20738.494724169057</v>
      </c>
      <c r="D15" s="15">
        <f>B15*C15</f>
        <v>62215.484172507175</v>
      </c>
      <c r="E15" s="3">
        <f>B$5/B15</f>
        <v>80</v>
      </c>
      <c r="G15">
        <v>2.5</v>
      </c>
      <c r="H15" s="5">
        <v>216</v>
      </c>
      <c r="J15" s="56">
        <v>893</v>
      </c>
      <c r="K15" s="57" t="s">
        <v>125</v>
      </c>
      <c r="L15" s="37">
        <v>7953.43213973799</v>
      </c>
      <c r="M15" s="37">
        <v>233</v>
      </c>
      <c r="N15" s="37">
        <v>22</v>
      </c>
      <c r="O15" s="15">
        <f t="shared" si="2"/>
        <v>9367.283124860565</v>
      </c>
      <c r="P15" s="15">
        <f t="shared" si="0"/>
        <v>2182576.968092512</v>
      </c>
      <c r="Q15" s="15">
        <f t="shared" si="1"/>
        <v>1853149.6885589517</v>
      </c>
    </row>
    <row r="16" spans="8:17" ht="12.75">
      <c r="H16" s="5"/>
      <c r="J16" s="56">
        <v>953</v>
      </c>
      <c r="K16" s="57" t="s">
        <v>125</v>
      </c>
      <c r="L16" s="37">
        <v>9351.47951612903</v>
      </c>
      <c r="M16" s="37">
        <v>307</v>
      </c>
      <c r="N16" s="37">
        <v>56</v>
      </c>
      <c r="O16" s="15">
        <f t="shared" si="2"/>
        <v>9367.283124860565</v>
      </c>
      <c r="P16" s="15">
        <f t="shared" si="0"/>
        <v>2875755.9193321937</v>
      </c>
      <c r="Q16" s="15">
        <f t="shared" si="1"/>
        <v>2870904.211451612</v>
      </c>
    </row>
    <row r="17" spans="1:17" ht="12.75">
      <c r="A17" t="s">
        <v>19</v>
      </c>
      <c r="B17">
        <v>3</v>
      </c>
      <c r="C17" s="15">
        <v>42914.98927153859</v>
      </c>
      <c r="D17" s="15">
        <f>B17*C17</f>
        <v>128744.96781461575</v>
      </c>
      <c r="E17" s="3">
        <f>B$8/B17</f>
        <v>10</v>
      </c>
      <c r="G17">
        <v>6.5</v>
      </c>
      <c r="H17" s="5">
        <v>10</v>
      </c>
      <c r="J17" s="56">
        <v>974</v>
      </c>
      <c r="K17" s="57" t="s">
        <v>125</v>
      </c>
      <c r="L17" s="37">
        <v>6846.68269303202</v>
      </c>
      <c r="M17" s="37">
        <v>206</v>
      </c>
      <c r="N17" s="37">
        <v>20</v>
      </c>
      <c r="O17" s="15">
        <f t="shared" si="2"/>
        <v>9367.283124860565</v>
      </c>
      <c r="P17" s="15">
        <f t="shared" si="0"/>
        <v>1929660.3237212764</v>
      </c>
      <c r="Q17" s="15">
        <f t="shared" si="1"/>
        <v>1410416.6347645961</v>
      </c>
    </row>
    <row r="18" spans="1:17" ht="12.75">
      <c r="A18" t="s">
        <v>16</v>
      </c>
      <c r="G18">
        <v>0</v>
      </c>
      <c r="H18" s="5">
        <v>0</v>
      </c>
      <c r="J18" s="56">
        <v>977</v>
      </c>
      <c r="K18" s="57" t="s">
        <v>125</v>
      </c>
      <c r="L18" s="37">
        <v>5408.48251059322</v>
      </c>
      <c r="M18" s="37">
        <v>287</v>
      </c>
      <c r="N18" s="37">
        <v>0</v>
      </c>
      <c r="O18" s="15">
        <f t="shared" si="2"/>
        <v>9367.283124860565</v>
      </c>
      <c r="P18" s="15">
        <f t="shared" si="0"/>
        <v>2688410.2568349824</v>
      </c>
      <c r="Q18" s="15">
        <f t="shared" si="1"/>
        <v>1552234.480540254</v>
      </c>
    </row>
    <row r="19" spans="1:17" ht="12.75">
      <c r="A19" t="s">
        <v>17</v>
      </c>
      <c r="B19">
        <v>3</v>
      </c>
      <c r="C19" s="15">
        <v>20738.494724169057</v>
      </c>
      <c r="D19" s="15">
        <f>B19*C19</f>
        <v>62215.484172507175</v>
      </c>
      <c r="E19" s="3">
        <f>B$8/B19</f>
        <v>10</v>
      </c>
      <c r="G19">
        <v>4</v>
      </c>
      <c r="H19" s="5">
        <v>16.25</v>
      </c>
      <c r="J19" s="56">
        <v>1040</v>
      </c>
      <c r="K19" s="57" t="s">
        <v>125</v>
      </c>
      <c r="L19" s="37">
        <v>14316.1127407407</v>
      </c>
      <c r="M19" s="37">
        <v>246</v>
      </c>
      <c r="N19" s="37">
        <v>37</v>
      </c>
      <c r="O19" s="15">
        <f t="shared" si="2"/>
        <v>9367.283124860565</v>
      </c>
      <c r="P19" s="15">
        <f t="shared" si="0"/>
        <v>2304351.648715699</v>
      </c>
      <c r="Q19" s="15">
        <f t="shared" si="1"/>
        <v>3521763.7342222123</v>
      </c>
    </row>
    <row r="20" spans="8:17" ht="12.75">
      <c r="H20" s="5"/>
      <c r="J20" s="56">
        <v>1046</v>
      </c>
      <c r="K20" s="57" t="s">
        <v>125</v>
      </c>
      <c r="L20" s="37">
        <v>8280.82806629835</v>
      </c>
      <c r="M20" s="37">
        <v>188</v>
      </c>
      <c r="N20" s="37">
        <v>11</v>
      </c>
      <c r="O20" s="15">
        <f t="shared" si="2"/>
        <v>9367.283124860565</v>
      </c>
      <c r="P20" s="15">
        <f t="shared" si="0"/>
        <v>1761049.2274737863</v>
      </c>
      <c r="Q20" s="15">
        <f t="shared" si="1"/>
        <v>1556795.67646409</v>
      </c>
    </row>
    <row r="21" spans="8:17" ht="12.75">
      <c r="H21" s="5"/>
      <c r="J21" s="56">
        <v>1048</v>
      </c>
      <c r="K21" s="57" t="s">
        <v>125</v>
      </c>
      <c r="L21" s="37">
        <v>5997.86462025316</v>
      </c>
      <c r="M21" s="37">
        <v>357</v>
      </c>
      <c r="N21" s="37">
        <v>18</v>
      </c>
      <c r="O21" s="15">
        <f t="shared" si="2"/>
        <v>9367.283124860565</v>
      </c>
      <c r="P21" s="15">
        <f t="shared" si="0"/>
        <v>3344120.075575222</v>
      </c>
      <c r="Q21" s="15">
        <f t="shared" si="1"/>
        <v>2141237.669430378</v>
      </c>
    </row>
    <row r="22" spans="1:17" ht="12.75">
      <c r="A22" t="s">
        <v>20</v>
      </c>
      <c r="H22" s="5"/>
      <c r="J22" s="56">
        <v>1112</v>
      </c>
      <c r="K22" s="57" t="s">
        <v>125</v>
      </c>
      <c r="L22" s="37">
        <v>8985.8554822335</v>
      </c>
      <c r="M22" s="37">
        <v>195</v>
      </c>
      <c r="N22" s="37">
        <v>15</v>
      </c>
      <c r="O22" s="15">
        <f t="shared" si="2"/>
        <v>9367.283124860565</v>
      </c>
      <c r="P22" s="15">
        <f t="shared" si="0"/>
        <v>1826620.2093478101</v>
      </c>
      <c r="Q22" s="15">
        <f t="shared" si="1"/>
        <v>1752241.8190355327</v>
      </c>
    </row>
    <row r="23" spans="1:17" ht="12.75">
      <c r="A23" t="s">
        <v>11</v>
      </c>
      <c r="B23">
        <v>1.5</v>
      </c>
      <c r="C23" s="15">
        <v>46319.211226175925</v>
      </c>
      <c r="D23" s="15">
        <f>B23*C23</f>
        <v>69478.81683926389</v>
      </c>
      <c r="E23" s="3">
        <f>B$5/B23</f>
        <v>160</v>
      </c>
      <c r="G23">
        <v>2.5</v>
      </c>
      <c r="H23" s="5">
        <v>216</v>
      </c>
      <c r="J23" s="56">
        <v>1130</v>
      </c>
      <c r="K23" s="57" t="s">
        <v>125</v>
      </c>
      <c r="L23" s="37">
        <v>9203.55937198067</v>
      </c>
      <c r="M23" s="37">
        <v>207</v>
      </c>
      <c r="N23" s="37">
        <v>17</v>
      </c>
      <c r="O23" s="15">
        <f t="shared" si="2"/>
        <v>9367.283124860565</v>
      </c>
      <c r="P23" s="15">
        <f t="shared" si="0"/>
        <v>1939027.606846137</v>
      </c>
      <c r="Q23" s="15">
        <f t="shared" si="1"/>
        <v>1905136.7899999986</v>
      </c>
    </row>
    <row r="24" spans="1:17" ht="12.75">
      <c r="A24" t="s">
        <v>58</v>
      </c>
      <c r="B24">
        <v>0.25</v>
      </c>
      <c r="C24" s="15">
        <v>37487.41846994718</v>
      </c>
      <c r="D24" s="15">
        <f>B24*C24</f>
        <v>9371.854617486795</v>
      </c>
      <c r="E24" s="3">
        <f>B$5/B24</f>
        <v>960</v>
      </c>
      <c r="G24">
        <v>0.33</v>
      </c>
      <c r="H24" s="5">
        <v>1636.3636363636363</v>
      </c>
      <c r="J24" s="56">
        <v>1148</v>
      </c>
      <c r="K24" s="57" t="s">
        <v>125</v>
      </c>
      <c r="L24" s="37">
        <v>12215.6109433962</v>
      </c>
      <c r="M24" s="37">
        <v>153</v>
      </c>
      <c r="N24" s="37">
        <v>12</v>
      </c>
      <c r="O24" s="15">
        <f t="shared" si="2"/>
        <v>9367.283124860565</v>
      </c>
      <c r="P24" s="15">
        <f t="shared" si="0"/>
        <v>1433194.3181036664</v>
      </c>
      <c r="Q24" s="15">
        <f t="shared" si="1"/>
        <v>1868988.4743396186</v>
      </c>
    </row>
    <row r="25" spans="1:17" ht="12.75">
      <c r="A25" t="s">
        <v>21</v>
      </c>
      <c r="B25">
        <v>0.1</v>
      </c>
      <c r="C25" s="15">
        <v>46396.4268055664</v>
      </c>
      <c r="D25" s="15">
        <f>B25*C25</f>
        <v>4639.64268055664</v>
      </c>
      <c r="E25" s="3">
        <f>B$5/B25</f>
        <v>2400</v>
      </c>
      <c r="G25">
        <v>0.1</v>
      </c>
      <c r="H25" s="5">
        <v>5400</v>
      </c>
      <c r="J25" s="56">
        <v>1155</v>
      </c>
      <c r="K25" s="57" t="s">
        <v>125</v>
      </c>
      <c r="L25" s="37">
        <v>10370.098630137</v>
      </c>
      <c r="M25" s="37">
        <v>174</v>
      </c>
      <c r="N25" s="37">
        <v>13</v>
      </c>
      <c r="O25" s="15">
        <f t="shared" si="2"/>
        <v>9367.283124860565</v>
      </c>
      <c r="P25" s="15">
        <f t="shared" si="0"/>
        <v>1629907.2637257383</v>
      </c>
      <c r="Q25" s="15">
        <f t="shared" si="1"/>
        <v>1804397.1616438378</v>
      </c>
    </row>
    <row r="26" spans="8:17" ht="12.75">
      <c r="H26" s="5"/>
      <c r="J26" s="56">
        <v>1178</v>
      </c>
      <c r="K26" s="57" t="s">
        <v>125</v>
      </c>
      <c r="L26" s="37">
        <v>9195.38907692307</v>
      </c>
      <c r="M26" s="37">
        <v>193</v>
      </c>
      <c r="N26" s="37">
        <v>14</v>
      </c>
      <c r="O26" s="15">
        <f t="shared" si="2"/>
        <v>9367.283124860565</v>
      </c>
      <c r="P26" s="15">
        <f t="shared" si="0"/>
        <v>1807885.6430980891</v>
      </c>
      <c r="Q26" s="15">
        <f t="shared" si="1"/>
        <v>1774710.0918461524</v>
      </c>
    </row>
    <row r="27" spans="8:17" ht="12.75">
      <c r="H27" s="5"/>
      <c r="J27" s="56">
        <v>1204</v>
      </c>
      <c r="K27" s="57" t="s">
        <v>125</v>
      </c>
      <c r="L27" s="37">
        <v>7199.89689171975</v>
      </c>
      <c r="M27" s="37">
        <v>226</v>
      </c>
      <c r="N27" s="37">
        <v>28</v>
      </c>
      <c r="O27" s="15">
        <f t="shared" si="2"/>
        <v>9367.283124860565</v>
      </c>
      <c r="P27" s="15">
        <f t="shared" si="0"/>
        <v>2117005.986218488</v>
      </c>
      <c r="Q27" s="15">
        <f t="shared" si="1"/>
        <v>1627176.6975286636</v>
      </c>
    </row>
    <row r="28" spans="1:17" ht="12.75">
      <c r="A28" t="s">
        <v>19</v>
      </c>
      <c r="H28" s="5"/>
      <c r="J28" s="56">
        <v>1298</v>
      </c>
      <c r="K28" s="57" t="s">
        <v>125</v>
      </c>
      <c r="L28" s="37">
        <v>6432.74606138107</v>
      </c>
      <c r="M28" s="37">
        <v>269</v>
      </c>
      <c r="N28" s="37">
        <v>17</v>
      </c>
      <c r="O28" s="15">
        <f t="shared" si="2"/>
        <v>9367.283124860565</v>
      </c>
      <c r="P28" s="15">
        <f t="shared" si="0"/>
        <v>2519799.160587492</v>
      </c>
      <c r="Q28" s="15">
        <f t="shared" si="1"/>
        <v>1730408.690511508</v>
      </c>
    </row>
    <row r="29" spans="1:17" ht="12.75">
      <c r="A29" s="6" t="s">
        <v>22</v>
      </c>
      <c r="B29">
        <v>0.23</v>
      </c>
      <c r="C29" s="15">
        <v>46396.4268055664</v>
      </c>
      <c r="D29" s="15">
        <f>B29*C29</f>
        <v>10671.178165280273</v>
      </c>
      <c r="E29" s="3">
        <f>B$8/B29</f>
        <v>130.43478260869566</v>
      </c>
      <c r="G29">
        <v>0.23</v>
      </c>
      <c r="H29" s="5">
        <v>282.6086956521739</v>
      </c>
      <c r="J29" s="56">
        <v>1301</v>
      </c>
      <c r="K29" s="57" t="s">
        <v>125</v>
      </c>
      <c r="L29" s="37">
        <v>7697.94967272728</v>
      </c>
      <c r="M29" s="37">
        <v>279</v>
      </c>
      <c r="N29" s="37">
        <v>29</v>
      </c>
      <c r="O29" s="15">
        <f t="shared" si="2"/>
        <v>9367.283124860565</v>
      </c>
      <c r="P29" s="15">
        <f t="shared" si="0"/>
        <v>2613471.9918360976</v>
      </c>
      <c r="Q29" s="15">
        <f t="shared" si="1"/>
        <v>2147727.958690911</v>
      </c>
    </row>
    <row r="30" spans="1:17" ht="12.75">
      <c r="A30" t="s">
        <v>23</v>
      </c>
      <c r="B30">
        <v>0.25</v>
      </c>
      <c r="C30" s="15">
        <v>48090.39947775422</v>
      </c>
      <c r="D30" s="15">
        <f>B30*C30</f>
        <v>12022.599869438554</v>
      </c>
      <c r="E30" s="3">
        <f>B$8/B30</f>
        <v>120</v>
      </c>
      <c r="H30" s="5"/>
      <c r="J30" s="56">
        <v>1434</v>
      </c>
      <c r="K30" s="57" t="s">
        <v>125</v>
      </c>
      <c r="L30" s="37">
        <v>7784.91649848638</v>
      </c>
      <c r="M30" s="37">
        <v>181</v>
      </c>
      <c r="N30" s="37">
        <v>28</v>
      </c>
      <c r="O30" s="15">
        <f t="shared" si="2"/>
        <v>9367.283124860565</v>
      </c>
      <c r="P30" s="15">
        <f t="shared" si="0"/>
        <v>1695478.2455997623</v>
      </c>
      <c r="Q30" s="15">
        <f t="shared" si="1"/>
        <v>1409069.8862260347</v>
      </c>
    </row>
    <row r="31" spans="8:16" ht="12.75">
      <c r="H31" s="5"/>
      <c r="M31" s="15">
        <f>SUM(M2:M30)</f>
        <v>6984</v>
      </c>
      <c r="N31" s="15">
        <f>SUM(N2:N30)</f>
        <v>605</v>
      </c>
      <c r="P31" s="15">
        <f>SUM(P2:P30)</f>
        <v>65421105.344026186</v>
      </c>
    </row>
    <row r="32" spans="8:16" ht="12.75">
      <c r="H32" s="5"/>
      <c r="K32" s="105" t="s">
        <v>140</v>
      </c>
      <c r="L32" s="106"/>
      <c r="M32" s="107"/>
      <c r="N32" s="15">
        <v>1657.004595568437</v>
      </c>
      <c r="P32" s="15">
        <f>P31+N35</f>
        <v>71629747.72872163</v>
      </c>
    </row>
    <row r="33" spans="8:14" ht="12.75">
      <c r="H33" s="5"/>
      <c r="K33" s="105" t="s">
        <v>141</v>
      </c>
      <c r="L33" s="106"/>
      <c r="M33" s="107"/>
      <c r="N33" s="15">
        <v>8605.214222109998</v>
      </c>
    </row>
    <row r="34" spans="8:14" ht="12.75">
      <c r="H34" s="5"/>
      <c r="K34" s="105" t="s">
        <v>142</v>
      </c>
      <c r="L34" s="106"/>
      <c r="M34" s="107"/>
      <c r="N34" s="15">
        <f>SUM(N32:N33)</f>
        <v>10262.218817678435</v>
      </c>
    </row>
    <row r="35" spans="1:14" ht="12.75">
      <c r="A35" t="s">
        <v>12</v>
      </c>
      <c r="D35" s="15">
        <f>B35*C35</f>
        <v>0</v>
      </c>
      <c r="H35" s="5"/>
      <c r="K35" s="105" t="s">
        <v>143</v>
      </c>
      <c r="L35" s="106"/>
      <c r="M35" s="107"/>
      <c r="N35" s="37">
        <f>N31*N34</f>
        <v>6208642.384695453</v>
      </c>
    </row>
    <row r="36" spans="1:8" ht="12.75">
      <c r="A36" t="s">
        <v>24</v>
      </c>
      <c r="B36">
        <v>1</v>
      </c>
      <c r="C36" s="15">
        <v>41163.357056373745</v>
      </c>
      <c r="D36" s="15">
        <f>B36*C36</f>
        <v>41163.357056373745</v>
      </c>
      <c r="E36" s="3">
        <f>B$5/B36</f>
        <v>240</v>
      </c>
      <c r="G36">
        <v>1.5</v>
      </c>
      <c r="H36" s="5">
        <v>360</v>
      </c>
    </row>
    <row r="37" spans="1:8" ht="12.75">
      <c r="A37" t="s">
        <v>25</v>
      </c>
      <c r="B37">
        <v>1</v>
      </c>
      <c r="C37" s="15">
        <v>38216.04733492906</v>
      </c>
      <c r="D37" s="15">
        <f>B37*C37</f>
        <v>38216.04733492906</v>
      </c>
      <c r="E37" s="3">
        <f>B$5/B37</f>
        <v>240</v>
      </c>
      <c r="G37">
        <v>1.5</v>
      </c>
      <c r="H37" s="5">
        <v>360</v>
      </c>
    </row>
    <row r="38" spans="1:8" ht="12.75">
      <c r="A38" t="s">
        <v>26</v>
      </c>
      <c r="B38">
        <v>2.3</v>
      </c>
      <c r="C38" s="15">
        <v>14400</v>
      </c>
      <c r="D38" s="15">
        <f>B38*C38</f>
        <v>33120</v>
      </c>
      <c r="E38" s="3">
        <f>B$5/B38</f>
        <v>104.34782608695653</v>
      </c>
      <c r="G38" s="7">
        <v>32850</v>
      </c>
      <c r="H38" s="5" t="s">
        <v>10</v>
      </c>
    </row>
    <row r="39" ht="12.75">
      <c r="H39" s="5"/>
    </row>
    <row r="40" spans="1:8" ht="12.75">
      <c r="A40" t="s">
        <v>27</v>
      </c>
      <c r="H40" s="5"/>
    </row>
    <row r="41" spans="1:8" ht="12.75">
      <c r="A41" t="s">
        <v>13</v>
      </c>
      <c r="B41">
        <v>1</v>
      </c>
      <c r="C41" s="15">
        <v>66157.3544068731</v>
      </c>
      <c r="D41" s="15">
        <f>B41*C41</f>
        <v>66157.3544068731</v>
      </c>
      <c r="E41" s="3">
        <f>B$5/B41</f>
        <v>240</v>
      </c>
      <c r="G41">
        <v>1</v>
      </c>
      <c r="H41" s="5">
        <v>540</v>
      </c>
    </row>
    <row r="42" spans="1:8" ht="12.75">
      <c r="A42" t="s">
        <v>59</v>
      </c>
      <c r="B42">
        <v>0.5</v>
      </c>
      <c r="C42" s="15">
        <v>65177.700376459674</v>
      </c>
      <c r="D42" s="15">
        <f>B42*C42</f>
        <v>32588.850188229837</v>
      </c>
      <c r="E42" s="3">
        <f>B$5/B42</f>
        <v>480</v>
      </c>
      <c r="G42">
        <v>1</v>
      </c>
      <c r="H42" s="5">
        <v>540</v>
      </c>
    </row>
    <row r="43" spans="1:8" ht="12.75">
      <c r="A43" t="s">
        <v>14</v>
      </c>
      <c r="B43">
        <v>2</v>
      </c>
      <c r="C43" s="15">
        <v>25044.977520676086</v>
      </c>
      <c r="D43" s="15">
        <f>B43*C43</f>
        <v>50089.95504135217</v>
      </c>
      <c r="E43" s="3">
        <f>B$5/B43</f>
        <v>120</v>
      </c>
      <c r="G43">
        <v>3</v>
      </c>
      <c r="H43" s="5">
        <v>180</v>
      </c>
    </row>
    <row r="45" spans="1:7" ht="12.75">
      <c r="A45" t="s">
        <v>28</v>
      </c>
      <c r="G45" t="s">
        <v>35</v>
      </c>
    </row>
    <row r="46" spans="1:8" ht="12.75">
      <c r="A46" t="s">
        <v>29</v>
      </c>
      <c r="D46" s="15">
        <v>400</v>
      </c>
      <c r="H46">
        <v>250</v>
      </c>
    </row>
    <row r="47" spans="1:8" ht="12.75">
      <c r="A47" t="s">
        <v>30</v>
      </c>
      <c r="D47" s="15">
        <v>300</v>
      </c>
      <c r="H47">
        <v>150</v>
      </c>
    </row>
    <row r="48" spans="1:8" ht="12.75">
      <c r="A48" t="s">
        <v>31</v>
      </c>
      <c r="D48" s="15">
        <v>400</v>
      </c>
      <c r="H48">
        <v>275</v>
      </c>
    </row>
    <row r="49" spans="1:8" ht="12.75">
      <c r="A49" t="s">
        <v>32</v>
      </c>
      <c r="D49" s="15">
        <v>80</v>
      </c>
      <c r="H49">
        <v>20</v>
      </c>
    </row>
    <row r="50" spans="1:8" ht="12.75">
      <c r="A50" t="s">
        <v>33</v>
      </c>
      <c r="D50" s="15">
        <v>700</v>
      </c>
      <c r="H50">
        <v>600</v>
      </c>
    </row>
    <row r="51" spans="1:4" ht="12.75">
      <c r="A51" t="s">
        <v>34</v>
      </c>
      <c r="D51" s="15">
        <v>50</v>
      </c>
    </row>
    <row r="53" spans="1:4" ht="12.75">
      <c r="A53" t="s">
        <v>134</v>
      </c>
      <c r="D53" s="15">
        <f>SUM(D10:D43)+SUM(D46:D51)*B5</f>
        <v>1942195.3777901859</v>
      </c>
    </row>
    <row r="54" spans="1:4" ht="12.75">
      <c r="A54" t="s">
        <v>137</v>
      </c>
      <c r="D54" s="15">
        <f>D53/240</f>
        <v>8092.480740792441</v>
      </c>
    </row>
    <row r="55" spans="1:4" ht="12.75">
      <c r="A55" t="s">
        <v>138</v>
      </c>
      <c r="D55" s="15">
        <v>1274.8023840681246</v>
      </c>
    </row>
    <row r="56" spans="1:4" ht="12.75">
      <c r="A56" t="s">
        <v>135</v>
      </c>
      <c r="D56" s="15">
        <f>SUM(D54:D55)</f>
        <v>9367.283124860565</v>
      </c>
    </row>
    <row r="57" spans="1:4" ht="12.75">
      <c r="A57" t="s">
        <v>136</v>
      </c>
      <c r="D57" s="15">
        <f>+'Additional Costs'!D16</f>
        <v>1657.004595568437</v>
      </c>
    </row>
    <row r="58" spans="1:4" ht="12.75">
      <c r="A58" t="s">
        <v>208</v>
      </c>
      <c r="D58" s="15">
        <f>+'Additional Costs'!D25</f>
        <v>8605.214222109998</v>
      </c>
    </row>
    <row r="59" spans="1:4" ht="12.75">
      <c r="A59" t="s">
        <v>209</v>
      </c>
      <c r="D59" s="15">
        <f>+D58+D57</f>
        <v>10262.218817678435</v>
      </c>
    </row>
  </sheetData>
  <mergeCells count="4">
    <mergeCell ref="K32:M32"/>
    <mergeCell ref="K33:M33"/>
    <mergeCell ref="K34:M34"/>
    <mergeCell ref="K35:M35"/>
  </mergeCells>
  <printOptions gridLines="1"/>
  <pageMargins left="0.75" right="0.75" top="1" bottom="1" header="0.5" footer="0.5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</dc:creator>
  <cp:keywords/>
  <dc:description/>
  <cp:lastModifiedBy>Staff User</cp:lastModifiedBy>
  <cp:lastPrinted>2005-09-07T22:14:52Z</cp:lastPrinted>
  <dcterms:created xsi:type="dcterms:W3CDTF">2005-08-11T08:44:41Z</dcterms:created>
  <dcterms:modified xsi:type="dcterms:W3CDTF">2005-09-08T14:29:21Z</dcterms:modified>
  <cp:category/>
  <cp:version/>
  <cp:contentType/>
  <cp:contentStatus/>
</cp:coreProperties>
</file>